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180" windowWidth="28800" windowHeight="11955"/>
  </bookViews>
  <sheets>
    <sheet name="დანართი 4 ცხრილი 1" sheetId="8" r:id="rId1"/>
  </sheets>
  <calcPr calcId="162913"/>
</workbook>
</file>

<file path=xl/calcChain.xml><?xml version="1.0" encoding="utf-8"?>
<calcChain xmlns="http://schemas.openxmlformats.org/spreadsheetml/2006/main">
  <c r="BJ94" i="8" l="1"/>
  <c r="AS94" i="8"/>
  <c r="AB94" i="8"/>
  <c r="K94" i="8"/>
  <c r="D94" i="8"/>
  <c r="C94" i="8"/>
  <c r="BX93" i="8"/>
  <c r="BT93" i="8"/>
  <c r="BP93" i="8"/>
  <c r="BK93" i="8"/>
  <c r="BG93" i="8"/>
  <c r="BC93" i="8"/>
  <c r="BC87" i="8" s="1"/>
  <c r="AY93" i="8"/>
  <c r="AW93" i="8"/>
  <c r="AT93" i="8"/>
  <c r="AP93" i="8"/>
  <c r="AP87" i="8" s="1"/>
  <c r="AL93" i="8"/>
  <c r="AH93" i="8"/>
  <c r="AH87" i="8" s="1"/>
  <c r="AC93" i="8"/>
  <c r="Y93" i="8"/>
  <c r="L93" i="8"/>
  <c r="BX92" i="8"/>
  <c r="BL92" i="8" s="1"/>
  <c r="H92" i="8" s="1"/>
  <c r="BX91" i="8"/>
  <c r="BT91" i="8"/>
  <c r="BT87" i="8" s="1"/>
  <c r="BP91" i="8"/>
  <c r="BK91" i="8"/>
  <c r="BG91" i="8"/>
  <c r="AU91" i="8"/>
  <c r="AT91" i="8"/>
  <c r="AD91" i="8"/>
  <c r="AC91" i="8"/>
  <c r="G91" i="8" s="1"/>
  <c r="M91" i="8"/>
  <c r="L91" i="8"/>
  <c r="BX90" i="8"/>
  <c r="BL90" i="8"/>
  <c r="BK90" i="8"/>
  <c r="AY90" i="8"/>
  <c r="AW90" i="8"/>
  <c r="AU90" i="8"/>
  <c r="AT90" i="8"/>
  <c r="AD90" i="8"/>
  <c r="AC90" i="8"/>
  <c r="M90" i="8"/>
  <c r="H90" i="8" s="1"/>
  <c r="L90" i="8"/>
  <c r="BX89" i="8"/>
  <c r="BP89" i="8"/>
  <c r="BL89" i="8"/>
  <c r="BK89" i="8"/>
  <c r="AY89" i="8"/>
  <c r="AW89" i="8"/>
  <c r="AT89" i="8"/>
  <c r="AL89" i="8"/>
  <c r="AD89" i="8" s="1"/>
  <c r="AC89" i="8"/>
  <c r="M89" i="8"/>
  <c r="L89" i="8"/>
  <c r="BX88" i="8"/>
  <c r="BT88" i="8"/>
  <c r="BP88" i="8"/>
  <c r="BL88" i="8"/>
  <c r="BK88" i="8"/>
  <c r="BG88" i="8"/>
  <c r="AW88" i="8"/>
  <c r="AT88" i="8"/>
  <c r="AT87" i="8" s="1"/>
  <c r="AD88" i="8"/>
  <c r="AC88" i="8"/>
  <c r="AC87" i="8" s="1"/>
  <c r="M88" i="8"/>
  <c r="L88" i="8"/>
  <c r="G88" i="8" s="1"/>
  <c r="BZ87" i="8"/>
  <c r="BY87" i="8"/>
  <c r="BW87" i="8"/>
  <c r="BV87" i="8"/>
  <c r="BU87" i="8"/>
  <c r="BS87" i="8"/>
  <c r="BR87" i="8"/>
  <c r="BQ87" i="8"/>
  <c r="BP87" i="8"/>
  <c r="BO87" i="8"/>
  <c r="BN87" i="8"/>
  <c r="BM87" i="8"/>
  <c r="BK87" i="8"/>
  <c r="BI87" i="8"/>
  <c r="BH87" i="8"/>
  <c r="BF87" i="8"/>
  <c r="BE87" i="8"/>
  <c r="BD87" i="8"/>
  <c r="BB87" i="8"/>
  <c r="BA87" i="8"/>
  <c r="AZ87" i="8"/>
  <c r="AX87" i="8"/>
  <c r="AV87" i="8"/>
  <c r="AR87" i="8"/>
  <c r="AQ87" i="8"/>
  <c r="AO87" i="8"/>
  <c r="AN87" i="8"/>
  <c r="AM87" i="8"/>
  <c r="AL87" i="8"/>
  <c r="AK87" i="8"/>
  <c r="AJ87" i="8"/>
  <c r="AI87" i="8"/>
  <c r="AG87" i="8"/>
  <c r="AF87" i="8"/>
  <c r="AE87" i="8"/>
  <c r="AA87" i="8"/>
  <c r="Z87" i="8"/>
  <c r="X87" i="8"/>
  <c r="W87" i="8"/>
  <c r="V87" i="8"/>
  <c r="U87" i="8"/>
  <c r="T87" i="8"/>
  <c r="S87" i="8"/>
  <c r="R87" i="8"/>
  <c r="Q87" i="8"/>
  <c r="P87" i="8"/>
  <c r="O87" i="8"/>
  <c r="N87" i="8"/>
  <c r="J87" i="8"/>
  <c r="I87" i="8"/>
  <c r="F87" i="8"/>
  <c r="BN86" i="8"/>
  <c r="BL86" i="8"/>
  <c r="BK86" i="8"/>
  <c r="AW86" i="8"/>
  <c r="AU86" i="8"/>
  <c r="AT86" i="8"/>
  <c r="AF86" i="8"/>
  <c r="AD86" i="8"/>
  <c r="AC86" i="8"/>
  <c r="O86" i="8"/>
  <c r="M86" i="8"/>
  <c r="L86" i="8"/>
  <c r="BN85" i="8"/>
  <c r="BL85" i="8"/>
  <c r="BK85" i="8"/>
  <c r="BK84" i="8" s="1"/>
  <c r="AW85" i="8"/>
  <c r="AU85" i="8"/>
  <c r="AU84" i="8" s="1"/>
  <c r="AT85" i="8"/>
  <c r="AT84" i="8" s="1"/>
  <c r="AF85" i="8"/>
  <c r="AF84" i="8" s="1"/>
  <c r="AD85" i="8"/>
  <c r="AC85" i="8"/>
  <c r="O85" i="8"/>
  <c r="M85" i="8"/>
  <c r="L85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M84" i="8"/>
  <c r="BI84" i="8"/>
  <c r="BH84" i="8"/>
  <c r="BG84" i="8"/>
  <c r="BF84" i="8"/>
  <c r="BE84" i="8"/>
  <c r="BD84" i="8"/>
  <c r="BC84" i="8"/>
  <c r="BB84" i="8"/>
  <c r="BA84" i="8"/>
  <c r="AZ84" i="8"/>
  <c r="AY84" i="8"/>
  <c r="AX84" i="8"/>
  <c r="AW84" i="8"/>
  <c r="AV84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E84" i="8"/>
  <c r="AA84" i="8"/>
  <c r="Z84" i="8"/>
  <c r="Y84" i="8"/>
  <c r="X84" i="8"/>
  <c r="W84" i="8"/>
  <c r="V84" i="8"/>
  <c r="U84" i="8"/>
  <c r="T84" i="8"/>
  <c r="S84" i="8"/>
  <c r="R84" i="8"/>
  <c r="Q84" i="8"/>
  <c r="P84" i="8"/>
  <c r="N84" i="8"/>
  <c r="I84" i="8"/>
  <c r="F84" i="8"/>
  <c r="E84" i="8"/>
  <c r="BX83" i="8"/>
  <c r="BL83" i="8" s="1"/>
  <c r="BK83" i="8"/>
  <c r="BG83" i="8"/>
  <c r="BG81" i="8" s="1"/>
  <c r="AW83" i="8"/>
  <c r="AW81" i="8" s="1"/>
  <c r="AT83" i="8"/>
  <c r="AP83" i="8"/>
  <c r="AD83" i="8"/>
  <c r="AC83" i="8"/>
  <c r="M83" i="8"/>
  <c r="L83" i="8"/>
  <c r="BN82" i="8"/>
  <c r="BN81" i="8" s="1"/>
  <c r="BL82" i="8"/>
  <c r="BK82" i="8"/>
  <c r="AW82" i="8"/>
  <c r="AU82" i="8"/>
  <c r="H82" i="8" s="1"/>
  <c r="AT82" i="8"/>
  <c r="AF82" i="8"/>
  <c r="AF81" i="8" s="1"/>
  <c r="AD82" i="8"/>
  <c r="AC82" i="8"/>
  <c r="O82" i="8"/>
  <c r="O81" i="8" s="1"/>
  <c r="M82" i="8"/>
  <c r="L82" i="8"/>
  <c r="G82" i="8" s="1"/>
  <c r="J82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M81" i="8"/>
  <c r="BL81" i="8"/>
  <c r="BK81" i="8"/>
  <c r="BI81" i="8"/>
  <c r="BH81" i="8"/>
  <c r="BF81" i="8"/>
  <c r="BE81" i="8"/>
  <c r="BD81" i="8"/>
  <c r="BC81" i="8"/>
  <c r="BB81" i="8"/>
  <c r="BA81" i="8"/>
  <c r="AZ81" i="8"/>
  <c r="AY81" i="8"/>
  <c r="AX81" i="8"/>
  <c r="AV81" i="8"/>
  <c r="AT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E81" i="8"/>
  <c r="AD81" i="8"/>
  <c r="AC81" i="8"/>
  <c r="AA81" i="8"/>
  <c r="Z81" i="8"/>
  <c r="Y81" i="8"/>
  <c r="X81" i="8"/>
  <c r="W81" i="8"/>
  <c r="V81" i="8"/>
  <c r="U81" i="8"/>
  <c r="T81" i="8"/>
  <c r="S81" i="8"/>
  <c r="R81" i="8"/>
  <c r="Q81" i="8"/>
  <c r="P81" i="8"/>
  <c r="N81" i="8"/>
  <c r="M81" i="8"/>
  <c r="L81" i="8"/>
  <c r="I81" i="8"/>
  <c r="F81" i="8"/>
  <c r="E81" i="8"/>
  <c r="BX80" i="8"/>
  <c r="BX76" i="8" s="1"/>
  <c r="BK80" i="8"/>
  <c r="AW80" i="8"/>
  <c r="AU80" i="8"/>
  <c r="AT80" i="8"/>
  <c r="AD80" i="8"/>
  <c r="AC80" i="8"/>
  <c r="M80" i="8"/>
  <c r="L80" i="8"/>
  <c r="J80" i="8"/>
  <c r="BL79" i="8"/>
  <c r="BK79" i="8"/>
  <c r="AW79" i="8"/>
  <c r="J79" i="8" s="1"/>
  <c r="AU79" i="8"/>
  <c r="AT79" i="8"/>
  <c r="AD79" i="8"/>
  <c r="AC79" i="8"/>
  <c r="G79" i="8" s="1"/>
  <c r="M79" i="8"/>
  <c r="L79" i="8"/>
  <c r="BL78" i="8"/>
  <c r="BK78" i="8"/>
  <c r="BK76" i="8" s="1"/>
  <c r="AW78" i="8"/>
  <c r="AU78" i="8"/>
  <c r="AT78" i="8"/>
  <c r="AT76" i="8" s="1"/>
  <c r="AD78" i="8"/>
  <c r="AC78" i="8"/>
  <c r="M78" i="8"/>
  <c r="L78" i="8"/>
  <c r="J78" i="8"/>
  <c r="BL77" i="8"/>
  <c r="BK77" i="8"/>
  <c r="AW77" i="8"/>
  <c r="AU77" i="8"/>
  <c r="AU76" i="8" s="1"/>
  <c r="AT77" i="8"/>
  <c r="AD77" i="8"/>
  <c r="AC77" i="8"/>
  <c r="G77" i="8" s="1"/>
  <c r="M77" i="8"/>
  <c r="L77" i="8"/>
  <c r="BZ76" i="8"/>
  <c r="BY76" i="8"/>
  <c r="BW76" i="8"/>
  <c r="BV76" i="8"/>
  <c r="BU76" i="8"/>
  <c r="BT76" i="8"/>
  <c r="BS76" i="8"/>
  <c r="BR76" i="8"/>
  <c r="BQ76" i="8"/>
  <c r="BP76" i="8"/>
  <c r="BO76" i="8"/>
  <c r="BN76" i="8"/>
  <c r="BM76" i="8"/>
  <c r="BI76" i="8"/>
  <c r="BH76" i="8"/>
  <c r="BG76" i="8"/>
  <c r="BF76" i="8"/>
  <c r="BE76" i="8"/>
  <c r="BD76" i="8"/>
  <c r="BC76" i="8"/>
  <c r="BB76" i="8"/>
  <c r="BA76" i="8"/>
  <c r="AZ76" i="8"/>
  <c r="AY76" i="8"/>
  <c r="AX76" i="8"/>
  <c r="AV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C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I76" i="8"/>
  <c r="F76" i="8"/>
  <c r="E76" i="8"/>
  <c r="BL75" i="8"/>
  <c r="BK75" i="8"/>
  <c r="BK74" i="8" s="1"/>
  <c r="AW75" i="8"/>
  <c r="AW74" i="8" s="1"/>
  <c r="AU75" i="8"/>
  <c r="AT75" i="8"/>
  <c r="AT74" i="8" s="1"/>
  <c r="AD75" i="8"/>
  <c r="AC75" i="8"/>
  <c r="AC74" i="8" s="1"/>
  <c r="M75" i="8"/>
  <c r="L75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V74" i="8"/>
  <c r="AU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I74" i="8"/>
  <c r="F74" i="8"/>
  <c r="E74" i="8"/>
  <c r="BL73" i="8"/>
  <c r="BK73" i="8"/>
  <c r="AW73" i="8"/>
  <c r="AU73" i="8"/>
  <c r="AT73" i="8"/>
  <c r="AD73" i="8"/>
  <c r="AC73" i="8"/>
  <c r="M73" i="8"/>
  <c r="L73" i="8"/>
  <c r="BL72" i="8"/>
  <c r="BK72" i="8"/>
  <c r="AY72" i="8"/>
  <c r="AU72" i="8" s="1"/>
  <c r="H72" i="8" s="1"/>
  <c r="AW72" i="8"/>
  <c r="AT72" i="8"/>
  <c r="AH72" i="8"/>
  <c r="AD72" i="8" s="1"/>
  <c r="AC72" i="8"/>
  <c r="M72" i="8"/>
  <c r="L72" i="8"/>
  <c r="BL71" i="8"/>
  <c r="BK71" i="8"/>
  <c r="AY71" i="8"/>
  <c r="AW71" i="8"/>
  <c r="AU71" i="8"/>
  <c r="AT71" i="8"/>
  <c r="AL71" i="8"/>
  <c r="AD71" i="8" s="1"/>
  <c r="AC71" i="8"/>
  <c r="U71" i="8"/>
  <c r="Q71" i="8"/>
  <c r="L71" i="8"/>
  <c r="BT70" i="8"/>
  <c r="BT62" i="8" s="1"/>
  <c r="BL70" i="8"/>
  <c r="BK70" i="8"/>
  <c r="AW70" i="8"/>
  <c r="AU70" i="8"/>
  <c r="AT70" i="8"/>
  <c r="AH70" i="8"/>
  <c r="AD70" i="8" s="1"/>
  <c r="AC70" i="8"/>
  <c r="U70" i="8"/>
  <c r="M70" i="8" s="1"/>
  <c r="L70" i="8"/>
  <c r="BL69" i="8"/>
  <c r="BK69" i="8"/>
  <c r="AW69" i="8"/>
  <c r="AU69" i="8"/>
  <c r="AT69" i="8"/>
  <c r="AD69" i="8"/>
  <c r="AC69" i="8"/>
  <c r="Q69" i="8"/>
  <c r="M69" i="8" s="1"/>
  <c r="H69" i="8" s="1"/>
  <c r="L69" i="8"/>
  <c r="BX68" i="8"/>
  <c r="BL68" i="8" s="1"/>
  <c r="BK68" i="8"/>
  <c r="AW68" i="8"/>
  <c r="AU68" i="8"/>
  <c r="AT68" i="8"/>
  <c r="AH68" i="8"/>
  <c r="AD68" i="8" s="1"/>
  <c r="AC68" i="8"/>
  <c r="G68" i="8" s="1"/>
  <c r="U68" i="8"/>
  <c r="M68" i="8"/>
  <c r="L68" i="8"/>
  <c r="BL67" i="8"/>
  <c r="BK67" i="8"/>
  <c r="AW67" i="8"/>
  <c r="AU67" i="8"/>
  <c r="AT67" i="8"/>
  <c r="AL67" i="8"/>
  <c r="AH67" i="8"/>
  <c r="AD67" i="8"/>
  <c r="AC67" i="8"/>
  <c r="U67" i="8"/>
  <c r="L67" i="8"/>
  <c r="BX66" i="8"/>
  <c r="BP66" i="8"/>
  <c r="BL66" i="8" s="1"/>
  <c r="BK66" i="8"/>
  <c r="BG66" i="8"/>
  <c r="AY66" i="8"/>
  <c r="AY62" i="8" s="1"/>
  <c r="AW66" i="8"/>
  <c r="AT66" i="8"/>
  <c r="AL66" i="8"/>
  <c r="AL62" i="8" s="1"/>
  <c r="AH66" i="8"/>
  <c r="AD66" i="8" s="1"/>
  <c r="AC66" i="8"/>
  <c r="Y66" i="8"/>
  <c r="U66" i="8"/>
  <c r="Q66" i="8"/>
  <c r="M66" i="8" s="1"/>
  <c r="L66" i="8"/>
  <c r="G66" i="8" s="1"/>
  <c r="BN65" i="8"/>
  <c r="BL65" i="8"/>
  <c r="BK65" i="8"/>
  <c r="AW65" i="8"/>
  <c r="AU65" i="8"/>
  <c r="AT65" i="8"/>
  <c r="AF65" i="8"/>
  <c r="AD65" i="8"/>
  <c r="H65" i="8" s="1"/>
  <c r="AC65" i="8"/>
  <c r="O65" i="8"/>
  <c r="M65" i="8"/>
  <c r="L65" i="8"/>
  <c r="G65" i="8" s="1"/>
  <c r="BN64" i="8"/>
  <c r="BL64" i="8"/>
  <c r="BK64" i="8"/>
  <c r="AW64" i="8"/>
  <c r="AU64" i="8"/>
  <c r="AT64" i="8"/>
  <c r="AF64" i="8"/>
  <c r="AD64" i="8"/>
  <c r="AC64" i="8"/>
  <c r="O64" i="8"/>
  <c r="M64" i="8"/>
  <c r="L64" i="8"/>
  <c r="BN63" i="8"/>
  <c r="BN62" i="8" s="1"/>
  <c r="BL63" i="8"/>
  <c r="BK63" i="8"/>
  <c r="AW63" i="8"/>
  <c r="AU63" i="8"/>
  <c r="AT63" i="8"/>
  <c r="AF63" i="8"/>
  <c r="AD63" i="8"/>
  <c r="AC63" i="8"/>
  <c r="O63" i="8"/>
  <c r="M63" i="8"/>
  <c r="L63" i="8"/>
  <c r="BZ62" i="8"/>
  <c r="BY62" i="8"/>
  <c r="BW62" i="8"/>
  <c r="BV62" i="8"/>
  <c r="BU62" i="8"/>
  <c r="BS62" i="8"/>
  <c r="BR62" i="8"/>
  <c r="BQ62" i="8"/>
  <c r="BO62" i="8"/>
  <c r="BM62" i="8"/>
  <c r="BI62" i="8"/>
  <c r="BH62" i="8"/>
  <c r="BF62" i="8"/>
  <c r="BE62" i="8"/>
  <c r="BD62" i="8"/>
  <c r="BC62" i="8"/>
  <c r="BB62" i="8"/>
  <c r="BA62" i="8"/>
  <c r="AZ62" i="8"/>
  <c r="AX62" i="8"/>
  <c r="AV62" i="8"/>
  <c r="AR62" i="8"/>
  <c r="AQ62" i="8"/>
  <c r="AP62" i="8"/>
  <c r="AO62" i="8"/>
  <c r="AN62" i="8"/>
  <c r="AM62" i="8"/>
  <c r="AK62" i="8"/>
  <c r="AJ62" i="8"/>
  <c r="AI62" i="8"/>
  <c r="AG62" i="8"/>
  <c r="AE62" i="8"/>
  <c r="AA62" i="8"/>
  <c r="Z62" i="8"/>
  <c r="Y62" i="8"/>
  <c r="X62" i="8"/>
  <c r="W62" i="8"/>
  <c r="V62" i="8"/>
  <c r="T62" i="8"/>
  <c r="S62" i="8"/>
  <c r="R62" i="8"/>
  <c r="P62" i="8"/>
  <c r="N62" i="8"/>
  <c r="I62" i="8"/>
  <c r="F62" i="8"/>
  <c r="E62" i="8"/>
  <c r="BL61" i="8"/>
  <c r="BK61" i="8"/>
  <c r="AW61" i="8"/>
  <c r="J61" i="8" s="1"/>
  <c r="AU61" i="8"/>
  <c r="AT61" i="8"/>
  <c r="AD61" i="8"/>
  <c r="H61" i="8" s="1"/>
  <c r="AC61" i="8"/>
  <c r="M61" i="8"/>
  <c r="L61" i="8"/>
  <c r="BL60" i="8"/>
  <c r="BK60" i="8"/>
  <c r="AW60" i="8"/>
  <c r="J60" i="8" s="1"/>
  <c r="AU60" i="8"/>
  <c r="AT60" i="8"/>
  <c r="AL60" i="8"/>
  <c r="AD60" i="8"/>
  <c r="AC60" i="8"/>
  <c r="Y60" i="8"/>
  <c r="Y57" i="8" s="1"/>
  <c r="U60" i="8"/>
  <c r="Q60" i="8"/>
  <c r="L60" i="8"/>
  <c r="G60" i="8"/>
  <c r="BN59" i="8"/>
  <c r="BL59" i="8"/>
  <c r="BK59" i="8"/>
  <c r="AW59" i="8"/>
  <c r="AW57" i="8" s="1"/>
  <c r="AU59" i="8"/>
  <c r="AT59" i="8"/>
  <c r="AF59" i="8"/>
  <c r="AD59" i="8"/>
  <c r="AC59" i="8"/>
  <c r="O59" i="8"/>
  <c r="M59" i="8"/>
  <c r="L59" i="8"/>
  <c r="L57" i="8" s="1"/>
  <c r="BN58" i="8"/>
  <c r="BL58" i="8"/>
  <c r="BK58" i="8"/>
  <c r="BK57" i="8" s="1"/>
  <c r="AW58" i="8"/>
  <c r="AU58" i="8"/>
  <c r="AT58" i="8"/>
  <c r="AF58" i="8"/>
  <c r="AD58" i="8"/>
  <c r="AC58" i="8"/>
  <c r="O58" i="8"/>
  <c r="M58" i="8"/>
  <c r="L58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M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V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E57" i="8"/>
  <c r="AA57" i="8"/>
  <c r="Z57" i="8"/>
  <c r="X57" i="8"/>
  <c r="W57" i="8"/>
  <c r="V57" i="8"/>
  <c r="T57" i="8"/>
  <c r="S57" i="8"/>
  <c r="R57" i="8"/>
  <c r="Q57" i="8"/>
  <c r="P57" i="8"/>
  <c r="N57" i="8"/>
  <c r="I57" i="8"/>
  <c r="F57" i="8"/>
  <c r="E57" i="8"/>
  <c r="BL56" i="8"/>
  <c r="BK56" i="8"/>
  <c r="AW56" i="8"/>
  <c r="AU56" i="8"/>
  <c r="AT56" i="8"/>
  <c r="AD56" i="8"/>
  <c r="AC56" i="8"/>
  <c r="M56" i="8"/>
  <c r="L56" i="8"/>
  <c r="G56" i="8" s="1"/>
  <c r="BX55" i="8"/>
  <c r="BT55" i="8"/>
  <c r="BT50" i="8" s="1"/>
  <c r="BP55" i="8"/>
  <c r="BK55" i="8"/>
  <c r="BG55" i="8"/>
  <c r="BC55" i="8"/>
  <c r="AY55" i="8"/>
  <c r="AU55" i="8" s="1"/>
  <c r="AW55" i="8"/>
  <c r="AT55" i="8"/>
  <c r="AP55" i="8"/>
  <c r="AP50" i="8" s="1"/>
  <c r="AL55" i="8"/>
  <c r="AH55" i="8"/>
  <c r="AC55" i="8"/>
  <c r="Y55" i="8"/>
  <c r="M55" i="8" s="1"/>
  <c r="U55" i="8"/>
  <c r="L55" i="8"/>
  <c r="BX54" i="8"/>
  <c r="BP54" i="8"/>
  <c r="BK54" i="8"/>
  <c r="BC54" i="8"/>
  <c r="AW54" i="8"/>
  <c r="AT54" i="8"/>
  <c r="AL54" i="8"/>
  <c r="AD54" i="8"/>
  <c r="AC54" i="8"/>
  <c r="Y54" i="8"/>
  <c r="U54" i="8"/>
  <c r="L54" i="8"/>
  <c r="BN53" i="8"/>
  <c r="BL53" i="8"/>
  <c r="BK53" i="8"/>
  <c r="AW53" i="8"/>
  <c r="AU53" i="8"/>
  <c r="AT53" i="8"/>
  <c r="AF53" i="8"/>
  <c r="AD53" i="8"/>
  <c r="AC53" i="8"/>
  <c r="O53" i="8"/>
  <c r="M53" i="8"/>
  <c r="L53" i="8"/>
  <c r="BN52" i="8"/>
  <c r="BL52" i="8"/>
  <c r="BK52" i="8"/>
  <c r="AW52" i="8"/>
  <c r="AU52" i="8"/>
  <c r="AT52" i="8"/>
  <c r="AF52" i="8"/>
  <c r="AD52" i="8"/>
  <c r="AC52" i="8"/>
  <c r="O52" i="8"/>
  <c r="M52" i="8"/>
  <c r="L52" i="8"/>
  <c r="J52" i="8"/>
  <c r="BP51" i="8"/>
  <c r="BN51" i="8"/>
  <c r="BL51" i="8"/>
  <c r="BK51" i="8"/>
  <c r="BK50" i="8" s="1"/>
  <c r="AW51" i="8"/>
  <c r="AU51" i="8"/>
  <c r="AT51" i="8"/>
  <c r="AF51" i="8"/>
  <c r="AD51" i="8"/>
  <c r="AC51" i="8"/>
  <c r="O51" i="8"/>
  <c r="M51" i="8"/>
  <c r="L51" i="8"/>
  <c r="BZ50" i="8"/>
  <c r="BY50" i="8"/>
  <c r="BX50" i="8"/>
  <c r="BW50" i="8"/>
  <c r="BV50" i="8"/>
  <c r="BU50" i="8"/>
  <c r="BS50" i="8"/>
  <c r="BR50" i="8"/>
  <c r="BQ50" i="8"/>
  <c r="BO50" i="8"/>
  <c r="BM50" i="8"/>
  <c r="BI50" i="8"/>
  <c r="BH50" i="8"/>
  <c r="BG50" i="8"/>
  <c r="BF50" i="8"/>
  <c r="BE50" i="8"/>
  <c r="BD50" i="8"/>
  <c r="BB50" i="8"/>
  <c r="BA50" i="8"/>
  <c r="AZ50" i="8"/>
  <c r="AX50" i="8"/>
  <c r="AV50" i="8"/>
  <c r="AR50" i="8"/>
  <c r="AQ50" i="8"/>
  <c r="AO50" i="8"/>
  <c r="AN50" i="8"/>
  <c r="AM50" i="8"/>
  <c r="AK50" i="8"/>
  <c r="AJ50" i="8"/>
  <c r="AI50" i="8"/>
  <c r="AH50" i="8"/>
  <c r="AG50" i="8"/>
  <c r="AF50" i="8"/>
  <c r="AE50" i="8"/>
  <c r="AA50" i="8"/>
  <c r="Z50" i="8"/>
  <c r="Y50" i="8"/>
  <c r="X50" i="8"/>
  <c r="W50" i="8"/>
  <c r="V50" i="8"/>
  <c r="T50" i="8"/>
  <c r="S50" i="8"/>
  <c r="R50" i="8"/>
  <c r="Q50" i="8"/>
  <c r="P50" i="8"/>
  <c r="N50" i="8"/>
  <c r="I50" i="8"/>
  <c r="F50" i="8"/>
  <c r="E50" i="8"/>
  <c r="BN49" i="8"/>
  <c r="BN48" i="8" s="1"/>
  <c r="BL49" i="8"/>
  <c r="BL48" i="8" s="1"/>
  <c r="BK49" i="8"/>
  <c r="BK48" i="8" s="1"/>
  <c r="AW49" i="8"/>
  <c r="AU49" i="8"/>
  <c r="AT49" i="8"/>
  <c r="AT48" i="8" s="1"/>
  <c r="AF49" i="8"/>
  <c r="AF48" i="8" s="1"/>
  <c r="AD49" i="8"/>
  <c r="AC49" i="8"/>
  <c r="AC48" i="8" s="1"/>
  <c r="O49" i="8"/>
  <c r="O48" i="8" s="1"/>
  <c r="M49" i="8"/>
  <c r="M48" i="8" s="1"/>
  <c r="L49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M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E48" i="8"/>
  <c r="AD48" i="8"/>
  <c r="AA48" i="8"/>
  <c r="Z48" i="8"/>
  <c r="Y48" i="8"/>
  <c r="X48" i="8"/>
  <c r="W48" i="8"/>
  <c r="V48" i="8"/>
  <c r="U48" i="8"/>
  <c r="T48" i="8"/>
  <c r="S48" i="8"/>
  <c r="R48" i="8"/>
  <c r="Q48" i="8"/>
  <c r="P48" i="8"/>
  <c r="N48" i="8"/>
  <c r="L48" i="8"/>
  <c r="I48" i="8"/>
  <c r="F48" i="8"/>
  <c r="E48" i="8"/>
  <c r="BL47" i="8"/>
  <c r="BK47" i="8"/>
  <c r="AW47" i="8"/>
  <c r="AU47" i="8"/>
  <c r="AT47" i="8"/>
  <c r="AD47" i="8"/>
  <c r="AC47" i="8"/>
  <c r="M47" i="8"/>
  <c r="H47" i="8" s="1"/>
  <c r="L47" i="8"/>
  <c r="BL46" i="8"/>
  <c r="BK46" i="8"/>
  <c r="BG46" i="8"/>
  <c r="AW46" i="8"/>
  <c r="AU46" i="8"/>
  <c r="AT46" i="8"/>
  <c r="G46" i="8" s="1"/>
  <c r="AD46" i="8"/>
  <c r="AC46" i="8"/>
  <c r="Y46" i="8"/>
  <c r="Q46" i="8"/>
  <c r="Q42" i="8" s="1"/>
  <c r="L46" i="8"/>
  <c r="BL45" i="8"/>
  <c r="BK45" i="8"/>
  <c r="BG45" i="8"/>
  <c r="BC45" i="8"/>
  <c r="AY45" i="8"/>
  <c r="AY42" i="8" s="1"/>
  <c r="AW45" i="8"/>
  <c r="AU45" i="8"/>
  <c r="AT45" i="8"/>
  <c r="AH45" i="8"/>
  <c r="AH42" i="8" s="1"/>
  <c r="AD45" i="8"/>
  <c r="AC45" i="8"/>
  <c r="G45" i="8" s="1"/>
  <c r="Y45" i="8"/>
  <c r="U45" i="8"/>
  <c r="Q45" i="8"/>
  <c r="M45" i="8"/>
  <c r="L45" i="8"/>
  <c r="BN44" i="8"/>
  <c r="BL44" i="8"/>
  <c r="BL42" i="8" s="1"/>
  <c r="BK44" i="8"/>
  <c r="AW44" i="8"/>
  <c r="AU44" i="8"/>
  <c r="AT44" i="8"/>
  <c r="G44" i="8" s="1"/>
  <c r="AF44" i="8"/>
  <c r="AD44" i="8"/>
  <c r="AC44" i="8"/>
  <c r="O44" i="8"/>
  <c r="M44" i="8"/>
  <c r="L44" i="8"/>
  <c r="BN43" i="8"/>
  <c r="BN42" i="8" s="1"/>
  <c r="BL43" i="8"/>
  <c r="BK43" i="8"/>
  <c r="AW43" i="8"/>
  <c r="AU43" i="8"/>
  <c r="AU42" i="8" s="1"/>
  <c r="AT43" i="8"/>
  <c r="AF43" i="8"/>
  <c r="AD43" i="8"/>
  <c r="AC43" i="8"/>
  <c r="G43" i="8" s="1"/>
  <c r="O43" i="8"/>
  <c r="M43" i="8"/>
  <c r="L43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M42" i="8"/>
  <c r="BI42" i="8"/>
  <c r="BH42" i="8"/>
  <c r="BF42" i="8"/>
  <c r="BE42" i="8"/>
  <c r="BD42" i="8"/>
  <c r="BC42" i="8"/>
  <c r="BB42" i="8"/>
  <c r="BA42" i="8"/>
  <c r="AZ42" i="8"/>
  <c r="AX42" i="8"/>
  <c r="AV42" i="8"/>
  <c r="AR42" i="8"/>
  <c r="AQ42" i="8"/>
  <c r="AP42" i="8"/>
  <c r="AO42" i="8"/>
  <c r="AN42" i="8"/>
  <c r="AM42" i="8"/>
  <c r="AL42" i="8"/>
  <c r="AK42" i="8"/>
  <c r="AJ42" i="8"/>
  <c r="AI42" i="8"/>
  <c r="AG42" i="8"/>
  <c r="AE42" i="8"/>
  <c r="AA42" i="8"/>
  <c r="Z42" i="8"/>
  <c r="X42" i="8"/>
  <c r="W42" i="8"/>
  <c r="V42" i="8"/>
  <c r="U42" i="8"/>
  <c r="T42" i="8"/>
  <c r="S42" i="8"/>
  <c r="R42" i="8"/>
  <c r="P42" i="8"/>
  <c r="O42" i="8"/>
  <c r="N42" i="8"/>
  <c r="I42" i="8"/>
  <c r="F42" i="8"/>
  <c r="E42" i="8"/>
  <c r="BN41" i="8"/>
  <c r="BL41" i="8"/>
  <c r="BK41" i="8"/>
  <c r="AW41" i="8"/>
  <c r="AU41" i="8"/>
  <c r="AT41" i="8"/>
  <c r="AF41" i="8"/>
  <c r="AD41" i="8"/>
  <c r="AC41" i="8"/>
  <c r="O41" i="8"/>
  <c r="M41" i="8"/>
  <c r="L41" i="8"/>
  <c r="BN40" i="8"/>
  <c r="BL40" i="8"/>
  <c r="BK40" i="8"/>
  <c r="AW40" i="8"/>
  <c r="AU40" i="8"/>
  <c r="AT40" i="8"/>
  <c r="AF40" i="8"/>
  <c r="AD40" i="8"/>
  <c r="AC40" i="8"/>
  <c r="O40" i="8"/>
  <c r="M40" i="8"/>
  <c r="L40" i="8"/>
  <c r="BN39" i="8"/>
  <c r="BL39" i="8"/>
  <c r="BK39" i="8"/>
  <c r="AW39" i="8"/>
  <c r="AU39" i="8"/>
  <c r="AT39" i="8"/>
  <c r="AF39" i="8"/>
  <c r="J39" i="8" s="1"/>
  <c r="AD39" i="8"/>
  <c r="AC39" i="8"/>
  <c r="O39" i="8"/>
  <c r="M39" i="8"/>
  <c r="H39" i="8" s="1"/>
  <c r="L39" i="8"/>
  <c r="BN38" i="8"/>
  <c r="BL38" i="8"/>
  <c r="BK38" i="8"/>
  <c r="AW38" i="8"/>
  <c r="AU38" i="8"/>
  <c r="AT38" i="8"/>
  <c r="G38" i="8" s="1"/>
  <c r="AF38" i="8"/>
  <c r="AD38" i="8"/>
  <c r="AC38" i="8"/>
  <c r="O38" i="8"/>
  <c r="M38" i="8"/>
  <c r="L38" i="8"/>
  <c r="BN37" i="8"/>
  <c r="BL37" i="8"/>
  <c r="BK37" i="8"/>
  <c r="AW37" i="8"/>
  <c r="AU37" i="8"/>
  <c r="AT37" i="8"/>
  <c r="AF37" i="8"/>
  <c r="AD37" i="8"/>
  <c r="AC37" i="8"/>
  <c r="O37" i="8"/>
  <c r="M37" i="8"/>
  <c r="L37" i="8"/>
  <c r="J37" i="8"/>
  <c r="BN36" i="8"/>
  <c r="BL36" i="8"/>
  <c r="BK36" i="8"/>
  <c r="AW36" i="8"/>
  <c r="AU36" i="8"/>
  <c r="AT36" i="8"/>
  <c r="AF36" i="8"/>
  <c r="AD36" i="8"/>
  <c r="AC36" i="8"/>
  <c r="O36" i="8"/>
  <c r="M36" i="8"/>
  <c r="H36" i="8" s="1"/>
  <c r="L36" i="8"/>
  <c r="BN35" i="8"/>
  <c r="BL35" i="8"/>
  <c r="BK35" i="8"/>
  <c r="AW35" i="8"/>
  <c r="AU35" i="8"/>
  <c r="AT35" i="8"/>
  <c r="AF35" i="8"/>
  <c r="AD35" i="8"/>
  <c r="AC35" i="8"/>
  <c r="O35" i="8"/>
  <c r="M35" i="8"/>
  <c r="H35" i="8" s="1"/>
  <c r="L35" i="8"/>
  <c r="BN34" i="8"/>
  <c r="BL34" i="8"/>
  <c r="BK34" i="8"/>
  <c r="AW34" i="8"/>
  <c r="AU34" i="8"/>
  <c r="AT34" i="8"/>
  <c r="AF34" i="8"/>
  <c r="AD34" i="8"/>
  <c r="AC34" i="8"/>
  <c r="O34" i="8"/>
  <c r="M34" i="8"/>
  <c r="L34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M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V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E33" i="8"/>
  <c r="AA33" i="8"/>
  <c r="Z33" i="8"/>
  <c r="Y33" i="8"/>
  <c r="X33" i="8"/>
  <c r="W33" i="8"/>
  <c r="V33" i="8"/>
  <c r="U33" i="8"/>
  <c r="T33" i="8"/>
  <c r="S33" i="8"/>
  <c r="R33" i="8"/>
  <c r="Q33" i="8"/>
  <c r="P33" i="8"/>
  <c r="N33" i="8"/>
  <c r="I33" i="8"/>
  <c r="F33" i="8"/>
  <c r="E33" i="8"/>
  <c r="BX32" i="8"/>
  <c r="BX29" i="8" s="1"/>
  <c r="BT32" i="8"/>
  <c r="BP32" i="8"/>
  <c r="BL32" i="8"/>
  <c r="BK32" i="8"/>
  <c r="BG32" i="8"/>
  <c r="BC32" i="8"/>
  <c r="AY32" i="8"/>
  <c r="AU32" i="8" s="1"/>
  <c r="AW32" i="8"/>
  <c r="AT32" i="8"/>
  <c r="AP32" i="8"/>
  <c r="AP29" i="8" s="1"/>
  <c r="AL32" i="8"/>
  <c r="AL29" i="8" s="1"/>
  <c r="AH32" i="8"/>
  <c r="AC32" i="8"/>
  <c r="Y32" i="8"/>
  <c r="U32" i="8"/>
  <c r="Q32" i="8"/>
  <c r="Q29" i="8" s="1"/>
  <c r="L32" i="8"/>
  <c r="BP31" i="8"/>
  <c r="BK31" i="8"/>
  <c r="BG31" i="8"/>
  <c r="AY31" i="8"/>
  <c r="AW31" i="8"/>
  <c r="AT31" i="8"/>
  <c r="AT29" i="8" s="1"/>
  <c r="AL31" i="8"/>
  <c r="AD31" i="8" s="1"/>
  <c r="AC31" i="8"/>
  <c r="M31" i="8"/>
  <c r="L31" i="8"/>
  <c r="L29" i="8" s="1"/>
  <c r="BT30" i="8"/>
  <c r="BN30" i="8"/>
  <c r="BN29" i="8" s="1"/>
  <c r="BL30" i="8"/>
  <c r="BK30" i="8"/>
  <c r="BG30" i="8"/>
  <c r="BC30" i="8"/>
  <c r="BC29" i="8" s="1"/>
  <c r="AY30" i="8"/>
  <c r="AW30" i="8"/>
  <c r="AT30" i="8"/>
  <c r="AL30" i="8"/>
  <c r="AH30" i="8"/>
  <c r="AD30" i="8" s="1"/>
  <c r="AF30" i="8"/>
  <c r="AF29" i="8" s="1"/>
  <c r="AC30" i="8"/>
  <c r="AC29" i="8" s="1"/>
  <c r="Y30" i="8"/>
  <c r="O30" i="8"/>
  <c r="L30" i="8"/>
  <c r="G30" i="8"/>
  <c r="BZ29" i="8"/>
  <c r="BY29" i="8"/>
  <c r="BW29" i="8"/>
  <c r="BV29" i="8"/>
  <c r="BU29" i="8"/>
  <c r="BT29" i="8"/>
  <c r="BS29" i="8"/>
  <c r="BR29" i="8"/>
  <c r="BQ29" i="8"/>
  <c r="BO29" i="8"/>
  <c r="BM29" i="8"/>
  <c r="BI29" i="8"/>
  <c r="BH29" i="8"/>
  <c r="BF29" i="8"/>
  <c r="BE29" i="8"/>
  <c r="BD29" i="8"/>
  <c r="BB29" i="8"/>
  <c r="BA29" i="8"/>
  <c r="AZ29" i="8"/>
  <c r="AX29" i="8"/>
  <c r="AV29" i="8"/>
  <c r="AR29" i="8"/>
  <c r="AQ29" i="8"/>
  <c r="AO29" i="8"/>
  <c r="AN29" i="8"/>
  <c r="AM29" i="8"/>
  <c r="AK29" i="8"/>
  <c r="AJ29" i="8"/>
  <c r="AI29" i="8"/>
  <c r="AG29" i="8"/>
  <c r="AE29" i="8"/>
  <c r="AA29" i="8"/>
  <c r="Z29" i="8"/>
  <c r="X29" i="8"/>
  <c r="W29" i="8"/>
  <c r="V29" i="8"/>
  <c r="U29" i="8"/>
  <c r="T29" i="8"/>
  <c r="S29" i="8"/>
  <c r="R29" i="8"/>
  <c r="P29" i="8"/>
  <c r="O29" i="8"/>
  <c r="N29" i="8"/>
  <c r="I29" i="8"/>
  <c r="F29" i="8"/>
  <c r="E29" i="8"/>
  <c r="BN28" i="8"/>
  <c r="BL28" i="8"/>
  <c r="BK28" i="8"/>
  <c r="AW28" i="8"/>
  <c r="AU28" i="8"/>
  <c r="AT28" i="8"/>
  <c r="AF28" i="8"/>
  <c r="AD28" i="8"/>
  <c r="AC28" i="8"/>
  <c r="O28" i="8"/>
  <c r="M28" i="8"/>
  <c r="H28" i="8" s="1"/>
  <c r="L28" i="8"/>
  <c r="BN27" i="8"/>
  <c r="BL27" i="8"/>
  <c r="BK27" i="8"/>
  <c r="AW27" i="8"/>
  <c r="AU27" i="8"/>
  <c r="AT27" i="8"/>
  <c r="AD27" i="8"/>
  <c r="AC27" i="8"/>
  <c r="M27" i="8"/>
  <c r="L27" i="8"/>
  <c r="BL26" i="8"/>
  <c r="BK26" i="8"/>
  <c r="AW26" i="8"/>
  <c r="AU26" i="8"/>
  <c r="AT26" i="8"/>
  <c r="AD26" i="8"/>
  <c r="AC26" i="8"/>
  <c r="M26" i="8"/>
  <c r="L26" i="8"/>
  <c r="BX25" i="8"/>
  <c r="BL25" i="8" s="1"/>
  <c r="BK25" i="8"/>
  <c r="BG25" i="8"/>
  <c r="BG20" i="8" s="1"/>
  <c r="AW25" i="8"/>
  <c r="AT25" i="8"/>
  <c r="AP25" i="8"/>
  <c r="AP20" i="8" s="1"/>
  <c r="AL25" i="8"/>
  <c r="AD25" i="8" s="1"/>
  <c r="AC25" i="8"/>
  <c r="Y25" i="8"/>
  <c r="Y20" i="8" s="1"/>
  <c r="L25" i="8"/>
  <c r="BN24" i="8"/>
  <c r="BL24" i="8"/>
  <c r="BK24" i="8"/>
  <c r="AW24" i="8"/>
  <c r="AU24" i="8"/>
  <c r="AT24" i="8"/>
  <c r="AF24" i="8"/>
  <c r="AD24" i="8"/>
  <c r="H24" i="8" s="1"/>
  <c r="AC24" i="8"/>
  <c r="O24" i="8"/>
  <c r="M24" i="8"/>
  <c r="L24" i="8"/>
  <c r="J24" i="8"/>
  <c r="BN23" i="8"/>
  <c r="BL23" i="8"/>
  <c r="BK23" i="8"/>
  <c r="AW23" i="8"/>
  <c r="AU23" i="8"/>
  <c r="AT23" i="8"/>
  <c r="AF23" i="8"/>
  <c r="J23" i="8" s="1"/>
  <c r="AD23" i="8"/>
  <c r="AC23" i="8"/>
  <c r="O23" i="8"/>
  <c r="M23" i="8"/>
  <c r="L23" i="8"/>
  <c r="G23" i="8" s="1"/>
  <c r="BN22" i="8"/>
  <c r="BL22" i="8"/>
  <c r="BK22" i="8"/>
  <c r="AW22" i="8"/>
  <c r="AU22" i="8"/>
  <c r="AT22" i="8"/>
  <c r="G22" i="8" s="1"/>
  <c r="AF22" i="8"/>
  <c r="AD22" i="8"/>
  <c r="AC22" i="8"/>
  <c r="O22" i="8"/>
  <c r="J22" i="8" s="1"/>
  <c r="M22" i="8"/>
  <c r="L22" i="8"/>
  <c r="E22" i="8"/>
  <c r="E20" i="8" s="1"/>
  <c r="BN21" i="8"/>
  <c r="BL21" i="8"/>
  <c r="BK21" i="8"/>
  <c r="AW21" i="8"/>
  <c r="AU21" i="8"/>
  <c r="AT21" i="8"/>
  <c r="AF21" i="8"/>
  <c r="J21" i="8" s="1"/>
  <c r="AD21" i="8"/>
  <c r="H21" i="8" s="1"/>
  <c r="AC21" i="8"/>
  <c r="O21" i="8"/>
  <c r="M21" i="8"/>
  <c r="L21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M20" i="8"/>
  <c r="BI20" i="8"/>
  <c r="BH20" i="8"/>
  <c r="BF20" i="8"/>
  <c r="BE20" i="8"/>
  <c r="BD20" i="8"/>
  <c r="BC20" i="8"/>
  <c r="BB20" i="8"/>
  <c r="BA20" i="8"/>
  <c r="AZ20" i="8"/>
  <c r="AY20" i="8"/>
  <c r="AX20" i="8"/>
  <c r="AV20" i="8"/>
  <c r="AR20" i="8"/>
  <c r="AQ20" i="8"/>
  <c r="AO20" i="8"/>
  <c r="AN20" i="8"/>
  <c r="AM20" i="8"/>
  <c r="AK20" i="8"/>
  <c r="AJ20" i="8"/>
  <c r="AI20" i="8"/>
  <c r="AH20" i="8"/>
  <c r="AG20" i="8"/>
  <c r="AE20" i="8"/>
  <c r="AA20" i="8"/>
  <c r="Z20" i="8"/>
  <c r="X20" i="8"/>
  <c r="W20" i="8"/>
  <c r="V20" i="8"/>
  <c r="U20" i="8"/>
  <c r="T20" i="8"/>
  <c r="S20" i="8"/>
  <c r="R20" i="8"/>
  <c r="Q20" i="8"/>
  <c r="P20" i="8"/>
  <c r="N20" i="8"/>
  <c r="L20" i="8"/>
  <c r="I20" i="8"/>
  <c r="F20" i="8"/>
  <c r="BL19" i="8"/>
  <c r="BK19" i="8"/>
  <c r="AW19" i="8"/>
  <c r="AU19" i="8"/>
  <c r="AT19" i="8"/>
  <c r="AD19" i="8"/>
  <c r="AC19" i="8"/>
  <c r="M19" i="8"/>
  <c r="L19" i="8"/>
  <c r="G19" i="8"/>
  <c r="BL18" i="8"/>
  <c r="BK18" i="8"/>
  <c r="AW18" i="8"/>
  <c r="AU18" i="8"/>
  <c r="AT18" i="8"/>
  <c r="AD18" i="8"/>
  <c r="AC18" i="8"/>
  <c r="M18" i="8"/>
  <c r="H18" i="8" s="1"/>
  <c r="L18" i="8"/>
  <c r="BL17" i="8"/>
  <c r="BK17" i="8"/>
  <c r="BG17" i="8"/>
  <c r="BG12" i="8" s="1"/>
  <c r="BC17" i="8"/>
  <c r="AW17" i="8"/>
  <c r="AT17" i="8"/>
  <c r="AD17" i="8"/>
  <c r="AC17" i="8"/>
  <c r="U17" i="8"/>
  <c r="M17" i="8"/>
  <c r="L17" i="8"/>
  <c r="G17" i="8" s="1"/>
  <c r="BN16" i="8"/>
  <c r="BL16" i="8"/>
  <c r="BK16" i="8"/>
  <c r="AW16" i="8"/>
  <c r="AW12" i="8" s="1"/>
  <c r="AU16" i="8"/>
  <c r="AT16" i="8"/>
  <c r="AF16" i="8"/>
  <c r="AD16" i="8"/>
  <c r="AC16" i="8"/>
  <c r="O16" i="8"/>
  <c r="M16" i="8"/>
  <c r="L16" i="8"/>
  <c r="BN15" i="8"/>
  <c r="BL15" i="8"/>
  <c r="BK15" i="8"/>
  <c r="G15" i="8" s="1"/>
  <c r="AW15" i="8"/>
  <c r="AU15" i="8"/>
  <c r="AT15" i="8"/>
  <c r="AF15" i="8"/>
  <c r="AF12" i="8" s="1"/>
  <c r="AD15" i="8"/>
  <c r="AC15" i="8"/>
  <c r="O15" i="8"/>
  <c r="J15" i="8" s="1"/>
  <c r="M15" i="8"/>
  <c r="L15" i="8"/>
  <c r="BN14" i="8"/>
  <c r="BN12" i="8" s="1"/>
  <c r="BL14" i="8"/>
  <c r="BK14" i="8"/>
  <c r="AW14" i="8"/>
  <c r="AU14" i="8"/>
  <c r="AT14" i="8"/>
  <c r="AF14" i="8"/>
  <c r="AD14" i="8"/>
  <c r="AC14" i="8"/>
  <c r="AC12" i="8" s="1"/>
  <c r="O14" i="8"/>
  <c r="M14" i="8"/>
  <c r="L14" i="8"/>
  <c r="H14" i="8"/>
  <c r="BN13" i="8"/>
  <c r="BL13" i="8"/>
  <c r="BL12" i="8" s="1"/>
  <c r="BK13" i="8"/>
  <c r="BK12" i="8" s="1"/>
  <c r="AW13" i="8"/>
  <c r="AU13" i="8"/>
  <c r="AT13" i="8"/>
  <c r="AP13" i="8"/>
  <c r="AP12" i="8" s="1"/>
  <c r="AL13" i="8"/>
  <c r="AL12" i="8" s="1"/>
  <c r="AF13" i="8"/>
  <c r="AC13" i="8"/>
  <c r="O13" i="8"/>
  <c r="J13" i="8" s="1"/>
  <c r="M13" i="8"/>
  <c r="M12" i="8" s="1"/>
  <c r="L13" i="8"/>
  <c r="E13" i="8"/>
  <c r="E12" i="8" s="1"/>
  <c r="BZ12" i="8"/>
  <c r="BY12" i="8"/>
  <c r="BX12" i="8"/>
  <c r="BW12" i="8"/>
  <c r="BV12" i="8"/>
  <c r="BU12" i="8"/>
  <c r="BT12" i="8"/>
  <c r="BS12" i="8"/>
  <c r="BR12" i="8"/>
  <c r="BQ12" i="8"/>
  <c r="BP12" i="8"/>
  <c r="BO12" i="8"/>
  <c r="BM12" i="8"/>
  <c r="BI12" i="8"/>
  <c r="BH12" i="8"/>
  <c r="BF12" i="8"/>
  <c r="BE12" i="8"/>
  <c r="BD12" i="8"/>
  <c r="BC12" i="8"/>
  <c r="BB12" i="8"/>
  <c r="BA12" i="8"/>
  <c r="AZ12" i="8"/>
  <c r="AY12" i="8"/>
  <c r="AX12" i="8"/>
  <c r="AV12" i="8"/>
  <c r="AR12" i="8"/>
  <c r="AQ12" i="8"/>
  <c r="AO12" i="8"/>
  <c r="AN12" i="8"/>
  <c r="AM12" i="8"/>
  <c r="AK12" i="8"/>
  <c r="AJ12" i="8"/>
  <c r="AI12" i="8"/>
  <c r="AH12" i="8"/>
  <c r="AG12" i="8"/>
  <c r="AE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I12" i="8"/>
  <c r="F12" i="8"/>
  <c r="BN11" i="8"/>
  <c r="BL11" i="8"/>
  <c r="BK11" i="8"/>
  <c r="AW11" i="8"/>
  <c r="AU11" i="8"/>
  <c r="AT11" i="8"/>
  <c r="G11" i="8" s="1"/>
  <c r="AF11" i="8"/>
  <c r="AF9" i="8" s="1"/>
  <c r="AD11" i="8"/>
  <c r="AC11" i="8"/>
  <c r="O11" i="8"/>
  <c r="M11" i="8"/>
  <c r="L11" i="8"/>
  <c r="BN10" i="8"/>
  <c r="BL10" i="8"/>
  <c r="BK10" i="8"/>
  <c r="AW10" i="8"/>
  <c r="AU10" i="8"/>
  <c r="AU9" i="8" s="1"/>
  <c r="AT10" i="8"/>
  <c r="AF10" i="8"/>
  <c r="AD10" i="8"/>
  <c r="AD9" i="8" s="1"/>
  <c r="AC10" i="8"/>
  <c r="O10" i="8"/>
  <c r="M10" i="8"/>
  <c r="L10" i="8"/>
  <c r="BZ9" i="8"/>
  <c r="BY9" i="8"/>
  <c r="BX9" i="8"/>
  <c r="BW9" i="8"/>
  <c r="BV9" i="8"/>
  <c r="BU9" i="8"/>
  <c r="BT9" i="8"/>
  <c r="BS9" i="8"/>
  <c r="BR9" i="8"/>
  <c r="BQ9" i="8"/>
  <c r="BP9" i="8"/>
  <c r="BO9" i="8"/>
  <c r="BM9" i="8"/>
  <c r="BI9" i="8"/>
  <c r="BH9" i="8"/>
  <c r="BG9" i="8"/>
  <c r="BF9" i="8"/>
  <c r="BE9" i="8"/>
  <c r="BD9" i="8"/>
  <c r="BC9" i="8"/>
  <c r="BB9" i="8"/>
  <c r="BA9" i="8"/>
  <c r="AZ9" i="8"/>
  <c r="AY9" i="8"/>
  <c r="AX9" i="8"/>
  <c r="AV9" i="8"/>
  <c r="AR9" i="8"/>
  <c r="AQ9" i="8"/>
  <c r="AP9" i="8"/>
  <c r="AO9" i="8"/>
  <c r="AN9" i="8"/>
  <c r="AM9" i="8"/>
  <c r="AL9" i="8"/>
  <c r="AK9" i="8"/>
  <c r="AJ9" i="8"/>
  <c r="AI9" i="8"/>
  <c r="AH9" i="8"/>
  <c r="AG9" i="8"/>
  <c r="AE9" i="8"/>
  <c r="AA9" i="8"/>
  <c r="Z9" i="8"/>
  <c r="Y9" i="8"/>
  <c r="X9" i="8"/>
  <c r="W9" i="8"/>
  <c r="V9" i="8"/>
  <c r="U9" i="8"/>
  <c r="T9" i="8"/>
  <c r="S9" i="8"/>
  <c r="R9" i="8"/>
  <c r="Q9" i="8"/>
  <c r="P9" i="8"/>
  <c r="N9" i="8"/>
  <c r="I9" i="8"/>
  <c r="F9" i="8"/>
  <c r="E9" i="8"/>
  <c r="BN8" i="8"/>
  <c r="BL8" i="8"/>
  <c r="BK8" i="8"/>
  <c r="AW8" i="8"/>
  <c r="AU8" i="8"/>
  <c r="AT8" i="8"/>
  <c r="AF8" i="8"/>
  <c r="AD8" i="8"/>
  <c r="AC8" i="8"/>
  <c r="O8" i="8"/>
  <c r="M8" i="8"/>
  <c r="L8" i="8"/>
  <c r="BN7" i="8"/>
  <c r="BN5" i="8" s="1"/>
  <c r="BL7" i="8"/>
  <c r="BK7" i="8"/>
  <c r="AW7" i="8"/>
  <c r="AU7" i="8"/>
  <c r="AU5" i="8" s="1"/>
  <c r="AT7" i="8"/>
  <c r="AF7" i="8"/>
  <c r="AD7" i="8"/>
  <c r="AC7" i="8"/>
  <c r="AC5" i="8" s="1"/>
  <c r="O7" i="8"/>
  <c r="M7" i="8"/>
  <c r="L7" i="8"/>
  <c r="J7" i="8"/>
  <c r="BN6" i="8"/>
  <c r="BL6" i="8"/>
  <c r="BL5" i="8" s="1"/>
  <c r="BK6" i="8"/>
  <c r="AW6" i="8"/>
  <c r="AU6" i="8"/>
  <c r="AT6" i="8"/>
  <c r="AT5" i="8" s="1"/>
  <c r="AF6" i="8"/>
  <c r="AF5" i="8" s="1"/>
  <c r="AD6" i="8"/>
  <c r="AD5" i="8" s="1"/>
  <c r="AC6" i="8"/>
  <c r="O6" i="8"/>
  <c r="O5" i="8" s="1"/>
  <c r="M6" i="8"/>
  <c r="H6" i="8" s="1"/>
  <c r="L6" i="8"/>
  <c r="BZ5" i="8"/>
  <c r="BY5" i="8"/>
  <c r="BX5" i="8"/>
  <c r="BW5" i="8"/>
  <c r="BV5" i="8"/>
  <c r="BU5" i="8"/>
  <c r="BT5" i="8"/>
  <c r="BS5" i="8"/>
  <c r="BR5" i="8"/>
  <c r="BQ5" i="8"/>
  <c r="BP5" i="8"/>
  <c r="BO5" i="8"/>
  <c r="BM5" i="8"/>
  <c r="BI5" i="8"/>
  <c r="BH5" i="8"/>
  <c r="BG5" i="8"/>
  <c r="BF5" i="8"/>
  <c r="BE5" i="8"/>
  <c r="BD5" i="8"/>
  <c r="BC5" i="8"/>
  <c r="BB5" i="8"/>
  <c r="BA5" i="8"/>
  <c r="AZ5" i="8"/>
  <c r="AY5" i="8"/>
  <c r="AX5" i="8"/>
  <c r="AV5" i="8"/>
  <c r="AR5" i="8"/>
  <c r="AQ5" i="8"/>
  <c r="AP5" i="8"/>
  <c r="AO5" i="8"/>
  <c r="AN5" i="8"/>
  <c r="AM5" i="8"/>
  <c r="AL5" i="8"/>
  <c r="AK5" i="8"/>
  <c r="AK94" i="8" s="1"/>
  <c r="AJ5" i="8"/>
  <c r="AI5" i="8"/>
  <c r="AH5" i="8"/>
  <c r="AG5" i="8"/>
  <c r="AE5" i="8"/>
  <c r="AA5" i="8"/>
  <c r="Z5" i="8"/>
  <c r="Y5" i="8"/>
  <c r="X5" i="8"/>
  <c r="W5" i="8"/>
  <c r="V5" i="8"/>
  <c r="U5" i="8"/>
  <c r="T5" i="8"/>
  <c r="S5" i="8"/>
  <c r="R5" i="8"/>
  <c r="Q5" i="8"/>
  <c r="P5" i="8"/>
  <c r="N5" i="8"/>
  <c r="I5" i="8"/>
  <c r="F5" i="8"/>
  <c r="E5" i="8"/>
  <c r="BN4" i="8"/>
  <c r="BN3" i="8" s="1"/>
  <c r="BL4" i="8"/>
  <c r="BL3" i="8" s="1"/>
  <c r="BK4" i="8"/>
  <c r="BK3" i="8" s="1"/>
  <c r="AW4" i="8"/>
  <c r="AW3" i="8" s="1"/>
  <c r="AU4" i="8"/>
  <c r="AU3" i="8" s="1"/>
  <c r="AT4" i="8"/>
  <c r="AT3" i="8" s="1"/>
  <c r="AF4" i="8"/>
  <c r="AD4" i="8"/>
  <c r="AD3" i="8" s="1"/>
  <c r="AC4" i="8"/>
  <c r="AC3" i="8" s="1"/>
  <c r="O4" i="8"/>
  <c r="M4" i="8"/>
  <c r="L4" i="8"/>
  <c r="BZ3" i="8"/>
  <c r="BZ94" i="8" s="1"/>
  <c r="BY3" i="8"/>
  <c r="BX3" i="8"/>
  <c r="BW3" i="8"/>
  <c r="BV3" i="8"/>
  <c r="BU3" i="8"/>
  <c r="BT3" i="8"/>
  <c r="BS3" i="8"/>
  <c r="BR3" i="8"/>
  <c r="BR94" i="8" s="1"/>
  <c r="BQ3" i="8"/>
  <c r="BP3" i="8"/>
  <c r="BO3" i="8"/>
  <c r="BO94" i="8" s="1"/>
  <c r="BM3" i="8"/>
  <c r="BI3" i="8"/>
  <c r="BH3" i="8"/>
  <c r="BG3" i="8"/>
  <c r="BF3" i="8"/>
  <c r="BF94" i="8" s="1"/>
  <c r="BE3" i="8"/>
  <c r="BD3" i="8"/>
  <c r="BC3" i="8"/>
  <c r="BB3" i="8"/>
  <c r="BA3" i="8"/>
  <c r="AZ3" i="8"/>
  <c r="AY3" i="8"/>
  <c r="AX3" i="8"/>
  <c r="AX94" i="8" s="1"/>
  <c r="AV3" i="8"/>
  <c r="AR3" i="8"/>
  <c r="AQ3" i="8"/>
  <c r="AP3" i="8"/>
  <c r="AO3" i="8"/>
  <c r="AN3" i="8"/>
  <c r="AN94" i="8" s="1"/>
  <c r="AM3" i="8"/>
  <c r="AL3" i="8"/>
  <c r="AK3" i="8"/>
  <c r="AJ3" i="8"/>
  <c r="AJ94" i="8" s="1"/>
  <c r="AI3" i="8"/>
  <c r="AH3" i="8"/>
  <c r="AG3" i="8"/>
  <c r="AF3" i="8"/>
  <c r="AE3" i="8"/>
  <c r="AA3" i="8"/>
  <c r="Z3" i="8"/>
  <c r="Y3" i="8"/>
  <c r="X3" i="8"/>
  <c r="W3" i="8"/>
  <c r="V3" i="8"/>
  <c r="U3" i="8"/>
  <c r="T3" i="8"/>
  <c r="S3" i="8"/>
  <c r="R3" i="8"/>
  <c r="Q3" i="8"/>
  <c r="P3" i="8"/>
  <c r="N3" i="8"/>
  <c r="L3" i="8"/>
  <c r="I3" i="8"/>
  <c r="F3" i="8"/>
  <c r="E3" i="8"/>
  <c r="G14" i="8" l="1"/>
  <c r="AR94" i="8"/>
  <c r="BK5" i="8"/>
  <c r="G6" i="8"/>
  <c r="G5" i="8" s="1"/>
  <c r="H7" i="8"/>
  <c r="G13" i="8"/>
  <c r="H16" i="8"/>
  <c r="G16" i="8"/>
  <c r="G12" i="8" s="1"/>
  <c r="L12" i="8"/>
  <c r="AU20" i="8"/>
  <c r="BN50" i="8"/>
  <c r="E94" i="8"/>
  <c r="AF33" i="8"/>
  <c r="G71" i="8"/>
  <c r="L87" i="8"/>
  <c r="BW94" i="8"/>
  <c r="G4" i="8"/>
  <c r="G3" i="8" s="1"/>
  <c r="J28" i="8"/>
  <c r="J20" i="8" s="1"/>
  <c r="AI94" i="8"/>
  <c r="BL33" i="8"/>
  <c r="H37" i="8"/>
  <c r="H40" i="8"/>
  <c r="H43" i="8"/>
  <c r="H42" i="8" s="1"/>
  <c r="H45" i="8"/>
  <c r="BK42" i="8"/>
  <c r="AW42" i="8"/>
  <c r="G49" i="8"/>
  <c r="G48" i="8" s="1"/>
  <c r="J51" i="8"/>
  <c r="G55" i="8"/>
  <c r="BL57" i="8"/>
  <c r="AF57" i="8"/>
  <c r="G61" i="8"/>
  <c r="H70" i="8"/>
  <c r="M71" i="8"/>
  <c r="H73" i="8"/>
  <c r="J75" i="8"/>
  <c r="J74" i="8" s="1"/>
  <c r="G78" i="8"/>
  <c r="J83" i="8"/>
  <c r="J85" i="8"/>
  <c r="J84" i="8" s="1"/>
  <c r="J86" i="8"/>
  <c r="AW87" i="8"/>
  <c r="AP94" i="8"/>
  <c r="AZ94" i="8"/>
  <c r="H8" i="8"/>
  <c r="BH94" i="8"/>
  <c r="BK9" i="8"/>
  <c r="L9" i="8"/>
  <c r="AW9" i="8"/>
  <c r="BV94" i="8"/>
  <c r="H19" i="8"/>
  <c r="G21" i="8"/>
  <c r="H22" i="8"/>
  <c r="H23" i="8"/>
  <c r="BK20" i="8"/>
  <c r="S94" i="8"/>
  <c r="BG29" i="8"/>
  <c r="AU31" i="8"/>
  <c r="G32" i="8"/>
  <c r="G35" i="8"/>
  <c r="J36" i="8"/>
  <c r="J40" i="8"/>
  <c r="J41" i="8"/>
  <c r="H44" i="8"/>
  <c r="J49" i="8"/>
  <c r="J48" i="8" s="1"/>
  <c r="H49" i="8"/>
  <c r="H48" i="8" s="1"/>
  <c r="AY50" i="8"/>
  <c r="AD55" i="8"/>
  <c r="AU57" i="8"/>
  <c r="BP62" i="8"/>
  <c r="AC62" i="8"/>
  <c r="G64" i="8"/>
  <c r="AU66" i="8"/>
  <c r="G70" i="8"/>
  <c r="G72" i="8"/>
  <c r="G75" i="8"/>
  <c r="G74" i="8" s="1"/>
  <c r="H75" i="8"/>
  <c r="H74" i="8" s="1"/>
  <c r="AD76" i="8"/>
  <c r="H79" i="8"/>
  <c r="G83" i="8"/>
  <c r="G81" i="8" s="1"/>
  <c r="BN84" i="8"/>
  <c r="AA94" i="8"/>
  <c r="J81" i="8"/>
  <c r="R94" i="8"/>
  <c r="Z94" i="8"/>
  <c r="T94" i="8"/>
  <c r="G8" i="8"/>
  <c r="J8" i="8"/>
  <c r="J16" i="8"/>
  <c r="G27" i="8"/>
  <c r="H27" i="8"/>
  <c r="H38" i="8"/>
  <c r="G7" i="8"/>
  <c r="AT9" i="8"/>
  <c r="BL9" i="8"/>
  <c r="AT12" i="8"/>
  <c r="H15" i="8"/>
  <c r="AL20" i="8"/>
  <c r="AT20" i="8"/>
  <c r="AC20" i="8"/>
  <c r="AU25" i="8"/>
  <c r="BL20" i="8"/>
  <c r="AQ94" i="8"/>
  <c r="J30" i="8"/>
  <c r="J29" i="8" s="1"/>
  <c r="AW29" i="8"/>
  <c r="G31" i="8"/>
  <c r="BK29" i="8"/>
  <c r="L33" i="8"/>
  <c r="AW33" i="8"/>
  <c r="G36" i="8"/>
  <c r="G37" i="8"/>
  <c r="J38" i="8"/>
  <c r="AT42" i="8"/>
  <c r="J44" i="8"/>
  <c r="Y42" i="8"/>
  <c r="BG42" i="8"/>
  <c r="BG94" i="8" s="1"/>
  <c r="L42" i="8"/>
  <c r="AU48" i="8"/>
  <c r="O50" i="8"/>
  <c r="AD50" i="8"/>
  <c r="AW50" i="8"/>
  <c r="J53" i="8"/>
  <c r="BL54" i="8"/>
  <c r="AL50" i="8"/>
  <c r="AL94" i="8" s="1"/>
  <c r="AD57" i="8"/>
  <c r="G59" i="8"/>
  <c r="Q62" i="8"/>
  <c r="U62" i="8"/>
  <c r="G69" i="8"/>
  <c r="AD84" i="8"/>
  <c r="G93" i="8"/>
  <c r="BX94" i="8"/>
  <c r="H66" i="8"/>
  <c r="BL76" i="8"/>
  <c r="H10" i="8"/>
  <c r="M9" i="8"/>
  <c r="G29" i="8"/>
  <c r="O33" i="8"/>
  <c r="J34" i="8"/>
  <c r="H51" i="8"/>
  <c r="H58" i="8"/>
  <c r="G63" i="8"/>
  <c r="AU88" i="8"/>
  <c r="H88" i="8" s="1"/>
  <c r="BG87" i="8"/>
  <c r="AV94" i="8"/>
  <c r="BD94" i="8"/>
  <c r="H5" i="8"/>
  <c r="O9" i="8"/>
  <c r="J10" i="8"/>
  <c r="AD13" i="8"/>
  <c r="G25" i="8"/>
  <c r="AC33" i="8"/>
  <c r="BN33" i="8"/>
  <c r="G53" i="8"/>
  <c r="BL55" i="8"/>
  <c r="O57" i="8"/>
  <c r="J58" i="8"/>
  <c r="BG62" i="8"/>
  <c r="H63" i="8"/>
  <c r="BK62" i="8"/>
  <c r="H78" i="8"/>
  <c r="O84" i="8"/>
  <c r="BL93" i="8"/>
  <c r="BL87" i="8" s="1"/>
  <c r="I94" i="8"/>
  <c r="AE94" i="8"/>
  <c r="AM94" i="8"/>
  <c r="BE94" i="8"/>
  <c r="BQ94" i="8"/>
  <c r="BY94" i="8"/>
  <c r="J6" i="8"/>
  <c r="AW5" i="8"/>
  <c r="AC9" i="8"/>
  <c r="BN9" i="8"/>
  <c r="AD20" i="8"/>
  <c r="O20" i="8"/>
  <c r="BN20" i="8"/>
  <c r="M25" i="8"/>
  <c r="G28" i="8"/>
  <c r="M32" i="8"/>
  <c r="AD33" i="8"/>
  <c r="G40" i="8"/>
  <c r="J43" i="8"/>
  <c r="J42" i="8" s="1"/>
  <c r="G47" i="8"/>
  <c r="G42" i="8" s="1"/>
  <c r="H53" i="8"/>
  <c r="AT50" i="8"/>
  <c r="AC57" i="8"/>
  <c r="BN57" i="8"/>
  <c r="O62" i="8"/>
  <c r="J63" i="8"/>
  <c r="BL62" i="8"/>
  <c r="AF62" i="8"/>
  <c r="AF94" i="8" s="1"/>
  <c r="M67" i="8"/>
  <c r="H67" i="8" s="1"/>
  <c r="G73" i="8"/>
  <c r="G85" i="8"/>
  <c r="L84" i="8"/>
  <c r="G90" i="8"/>
  <c r="AU62" i="8"/>
  <c r="J77" i="8"/>
  <c r="J76" i="8" s="1"/>
  <c r="AW76" i="8"/>
  <c r="BL84" i="8"/>
  <c r="N94" i="8"/>
  <c r="W94" i="8"/>
  <c r="BT94" i="8"/>
  <c r="H4" i="8"/>
  <c r="H3" i="8" s="1"/>
  <c r="M3" i="8"/>
  <c r="M5" i="8"/>
  <c r="H11" i="8"/>
  <c r="G18" i="8"/>
  <c r="AF20" i="8"/>
  <c r="G24" i="8"/>
  <c r="G20" i="8" s="1"/>
  <c r="G26" i="8"/>
  <c r="J35" i="8"/>
  <c r="G39" i="8"/>
  <c r="AD42" i="8"/>
  <c r="AF42" i="8"/>
  <c r="G52" i="8"/>
  <c r="G54" i="8"/>
  <c r="BC50" i="8"/>
  <c r="BC94" i="8" s="1"/>
  <c r="AU54" i="8"/>
  <c r="AT57" i="8"/>
  <c r="H59" i="8"/>
  <c r="AH62" i="8"/>
  <c r="BX62" i="8"/>
  <c r="L62" i="8"/>
  <c r="AW62" i="8"/>
  <c r="J65" i="8"/>
  <c r="H77" i="8"/>
  <c r="G80" i="8"/>
  <c r="G76" i="8" s="1"/>
  <c r="BL80" i="8"/>
  <c r="H80" i="8" s="1"/>
  <c r="AC84" i="8"/>
  <c r="BX87" i="8"/>
  <c r="AU89" i="8"/>
  <c r="H89" i="8" s="1"/>
  <c r="AY87" i="8"/>
  <c r="M93" i="8"/>
  <c r="Y87" i="8"/>
  <c r="AU93" i="8"/>
  <c r="V94" i="8"/>
  <c r="AO94" i="8"/>
  <c r="L5" i="8"/>
  <c r="Y29" i="8"/>
  <c r="Y94" i="8" s="1"/>
  <c r="M30" i="8"/>
  <c r="AC42" i="8"/>
  <c r="BP50" i="8"/>
  <c r="AC50" i="8"/>
  <c r="M60" i="8"/>
  <c r="H60" i="8" s="1"/>
  <c r="U57" i="8"/>
  <c r="AD62" i="8"/>
  <c r="G67" i="8"/>
  <c r="P94" i="8"/>
  <c r="X94" i="8"/>
  <c r="BA94" i="8"/>
  <c r="BI94" i="8"/>
  <c r="BU94" i="8"/>
  <c r="O3" i="8"/>
  <c r="J4" i="8"/>
  <c r="J3" i="8" s="1"/>
  <c r="J11" i="8"/>
  <c r="H26" i="8"/>
  <c r="G34" i="8"/>
  <c r="G41" i="8"/>
  <c r="AU50" i="8"/>
  <c r="H52" i="8"/>
  <c r="M54" i="8"/>
  <c r="U50" i="8"/>
  <c r="H56" i="8"/>
  <c r="J59" i="8"/>
  <c r="AT62" i="8"/>
  <c r="H64" i="8"/>
  <c r="L74" i="8"/>
  <c r="L76" i="8"/>
  <c r="AU83" i="8"/>
  <c r="H83" i="8" s="1"/>
  <c r="H81" i="8" s="1"/>
  <c r="G86" i="8"/>
  <c r="BL91" i="8"/>
  <c r="H71" i="8"/>
  <c r="H85" i="8"/>
  <c r="M84" i="8"/>
  <c r="AG94" i="8"/>
  <c r="BS94" i="8"/>
  <c r="AU30" i="8"/>
  <c r="AU29" i="8" s="1"/>
  <c r="AY29" i="8"/>
  <c r="AT33" i="8"/>
  <c r="F94" i="8"/>
  <c r="Q94" i="8"/>
  <c r="BB94" i="8"/>
  <c r="BM94" i="8"/>
  <c r="G10" i="8"/>
  <c r="G9" i="8" s="1"/>
  <c r="J14" i="8"/>
  <c r="J12" i="8" s="1"/>
  <c r="AU17" i="8"/>
  <c r="AU12" i="8" s="1"/>
  <c r="AW20" i="8"/>
  <c r="BP29" i="8"/>
  <c r="BP94" i="8" s="1"/>
  <c r="AD32" i="8"/>
  <c r="AD29" i="8" s="1"/>
  <c r="AH29" i="8"/>
  <c r="AH94" i="8" s="1"/>
  <c r="H34" i="8"/>
  <c r="M33" i="8"/>
  <c r="BK33" i="8"/>
  <c r="AU33" i="8"/>
  <c r="H41" i="8"/>
  <c r="G51" i="8"/>
  <c r="L50" i="8"/>
  <c r="G58" i="8"/>
  <c r="G57" i="8" s="1"/>
  <c r="J64" i="8"/>
  <c r="H68" i="8"/>
  <c r="BL74" i="8"/>
  <c r="M76" i="8"/>
  <c r="H86" i="8"/>
  <c r="G89" i="8"/>
  <c r="G87" i="8" s="1"/>
  <c r="H91" i="8"/>
  <c r="AD93" i="8"/>
  <c r="AD87" i="8" s="1"/>
  <c r="BL31" i="8"/>
  <c r="BL29" i="8" s="1"/>
  <c r="M46" i="8"/>
  <c r="H46" i="8" s="1"/>
  <c r="AW94" i="8" l="1"/>
  <c r="BK94" i="8"/>
  <c r="J57" i="8"/>
  <c r="AC94" i="8"/>
  <c r="AY94" i="8"/>
  <c r="U94" i="8"/>
  <c r="J5" i="8"/>
  <c r="M62" i="8"/>
  <c r="H9" i="8"/>
  <c r="M42" i="8"/>
  <c r="H93" i="8"/>
  <c r="H87" i="8" s="1"/>
  <c r="G84" i="8"/>
  <c r="H33" i="8"/>
  <c r="AT94" i="8"/>
  <c r="H54" i="8"/>
  <c r="BN94" i="8"/>
  <c r="H55" i="8"/>
  <c r="M57" i="8"/>
  <c r="J50" i="8"/>
  <c r="J94" i="8"/>
  <c r="BL50" i="8"/>
  <c r="BL94" i="8" s="1"/>
  <c r="AU81" i="8"/>
  <c r="H62" i="8"/>
  <c r="M50" i="8"/>
  <c r="H25" i="8"/>
  <c r="H20" i="8" s="1"/>
  <c r="M20" i="8"/>
  <c r="H50" i="8"/>
  <c r="H31" i="8"/>
  <c r="H17" i="8"/>
  <c r="G33" i="8"/>
  <c r="J33" i="8"/>
  <c r="H76" i="8"/>
  <c r="H13" i="8"/>
  <c r="AD12" i="8"/>
  <c r="AD94" i="8" s="1"/>
  <c r="AU87" i="8"/>
  <c r="G50" i="8"/>
  <c r="H84" i="8"/>
  <c r="O94" i="8"/>
  <c r="L94" i="8"/>
  <c r="H32" i="8"/>
  <c r="H57" i="8"/>
  <c r="M29" i="8"/>
  <c r="H30" i="8"/>
  <c r="H29" i="8" s="1"/>
  <c r="J9" i="8"/>
  <c r="M87" i="8"/>
  <c r="J62" i="8"/>
  <c r="G62" i="8"/>
  <c r="G94" i="8" l="1"/>
  <c r="M94" i="8"/>
  <c r="AU94" i="8"/>
  <c r="H12" i="8"/>
  <c r="H94" i="8" s="1"/>
</calcChain>
</file>

<file path=xl/comments1.xml><?xml version="1.0" encoding="utf-8"?>
<comments xmlns="http://schemas.openxmlformats.org/spreadsheetml/2006/main">
  <authors>
    <author>Author</author>
  </authors>
  <commentList>
    <comment ref="R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მოიცავს ფსიქოსოციალური რეაბილიტაციის კომპონენტის ბენეფიციარებსაც  - დეკემბრის თვის მდგომარეობით 78 ბენეფიციარი</t>
        </r>
      </text>
    </comment>
    <comment ref="BA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ვიზიტების რაოდენობა 181 928</t>
        </r>
      </text>
    </comment>
    <comment ref="BD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ვიზიტების რაოდენობა 191 637</t>
        </r>
      </text>
    </comment>
    <comment ref="R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1212 ექიმი (1 ექიმის ვაკანსია აჭარაში, 1 ქვემო ქართლში) და 1449 ექთანი (1 ექთნის სამცხე-ჯავახეთში და 1 სამეგრელო). 
სულ, პროვაიდერების ჩათვლით დაკონტრაქტებულია 1281 ექიმი და 1543 ექთანი.</t>
        </r>
      </text>
    </comment>
    <comment ref="V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1212 ექიმი (1 ექიმის ვაკანსია აჭარაში, 1 ქვემო ქართლში) და 1449 ექთანი (1 ექთნის სამცხე-ჯავახეთში და 1 სამეგრელო). 
სულ, პროვაიდერების ჩათვლით დაკონტრაქტებულია 1281 ექიმი და 1543 ექთანი.</t>
        </r>
      </text>
    </comment>
    <comment ref="Z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სამცხე-ჯავახეთში) და 1449 ექთანი (1 ექთნის მცხეთა-მთიანეთში და 1 სამეგრელო). 
სულ, პროვაიდერების ჩათვლით დაკონტრაქტებულია 1280 ექიმი და 1543 ექთანი.</t>
        </r>
      </text>
    </comment>
    <comment ref="AI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შიდა ქართლში) და 1449 ექთანი (1 ექთნის მცხეთა-მთიანეთში და 1 სამეგრელო). 
სულ, პროვაიდერების ჩათვლით დაკონტრაქტებულია 1280 ექიმი და 1543 ექთანი.</t>
        </r>
      </text>
    </comment>
    <comment ref="AM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12.06.2018
დღეის მდგომარეობით სააგენტოს მიმწოდებელია 1206 ექიმი (1 ექიმის ვაკანსია აჭარაში, 1 ქვემო ქართლში, 1 შიდა ქართლში, 2 კახეთში, 2 იმერეთში, 1 სამეგრელოში) და 1450 ექთანი (1 სამეგრელო). 
სულ, პროვაიდერების ჩათვლით დაკონტრაქტებულია 1275 ექიმი და 1544 ექთანი.</t>
        </r>
      </text>
    </comment>
    <comment ref="AQ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04.07.2018
დღეის მდგომარეობით სააგენტოს მიმწოდებელია 1210 ექიმი (1 ექიმის ვაკანსია აჭარაში, 1 ქვემო ქართლში, 1 კახეთში, 1 სამეგრელოში) და 1450 ექთანი (1 იმერეთი). 
სულ, პროვაიდერების ჩათვლით დაკონტრაქტებულია 1279 ექიმი და 1544 ექთანი. პროვაიდერების მიერ დაკონტრაქტებულია 69 ექიმი და 94 ექთანი.</t>
        </r>
      </text>
    </comment>
    <comment ref="AZ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08.08.2018 დღეის მდგომარეობით სააგენტოს მიმწოდებელია 1212 ექიმი (1 ექიმის ვაკანსია აჭარაში, 1 კახეთში) და 1450 ექთანი (1 იმერეთი). 
სულ, პროვაიდერების ჩათვლით დაკონტრაქტებულია 1281 ექიმი და 1544 ექთანი.
პროვაიდერების მიერ დაკონტრაქტებულია 69 ექიმი და 94 ექთანი.</t>
        </r>
      </text>
    </comment>
    <comment ref="BD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1210 ექიმი (1 ექიმის ვაკანსია აჭარაში, 1 კახეთში, 1 ქვემო ქართლში და 1 იმერეთში) და 1449 ექთანი (ვაკანსია 1 იმერეთი და ერთი რაჭა). 
სულ, პროვაიდერების ჩათვლით დაკონტრაქტებულია 1279 ექიმი და 1544 ექთანი.
პროვაიდერების მიერ დაკონტრაქტებულია 69 ექიმი და 94 ექთანი.</t>
        </r>
      </text>
    </comment>
    <comment ref="BH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1205 ექიმი (1 ექიმის ვაკანსია აჭარაში, 5 კახეთში, 1 ქვემო ქართლში და 2 იმერეთში) და 1448 ექთანი (1 ვაკანსია იმერეთში, 1 კახეთი, 1 სამეგრელო). 
სულ, პროვაიდერების ჩათვლით დაკონტრაქტებულია 1274 ექიმი და 1542 ექთანი.
პროვაიდერების მიერ დაკონტრაქტებულია 69 ექიმი და 94 ექთანი.</t>
        </r>
      </text>
    </comment>
    <comment ref="BQ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დღეის მდგომარეობით სააგენტოს მიმწოდებელია 1207 ექიმი (2 ექიმის ვაკანსია აჭარაში, 2 კახეთში, 1 მცხეთა-მთიანეთში და 2 იმერეთში) და 1447 ექთანი (2 ვაკანსია იმერეთში, 1 კახეთი, 1 სამცხე). 
სულ, პროვაიდერების ჩათვლით დაკონტრაქტებულია 1276 ექიმი და 1541 ექთანი.
პროვაიდერების მიერ დაკონტრაქტებულია 69 ექიმი და 94 ექთანი.</t>
        </r>
      </text>
    </comment>
    <comment ref="BU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დღეის მდგომარეობით სააგენტოს მიმწოდებელია 1208 ექიმი (1 ექიმის ვაკანსია აჭარაში, 1 ქვემო ქართლში, 1 მცხეთა-მთიანეთში, 1 რაჭაში და 2 იმერეთში) და 1448 ექთანი (1 ვაკანსია იმერეთში, 1 კახეთი, 1 სამეგრელო). 
სულ, პროვაიდერების ჩათვლით დაკონტრაქტებულია 1277 ექიმი და 1542 ექთანი.
პროვაიდერების მიერ დაკონტრაქტებულია 69 ექიმი და 94 ექთანი.</t>
        </r>
      </text>
    </comment>
    <comment ref="BY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დღეის მდგომარეობით სააგენტოს მიმწოდებელია 1211 ექიმი (1 ექიმის ვაკანსია აჭარაში, 1 ქვემო ქართლში, 1 გურიაში) და 1448 ექთანი (1 ვაკანსია რაჭა-ლეჩხუმი ქვემო სვანეთში, 1 კახეთი, 1 სამეგრელო).
სულ, პროვაიდერების ჩათვლით დაკონტრაქტებულია 1280 ექიმი და 1542 ექთანი.
პროვაიდერების მიერ დაკონტრაქტებულია 69 ექიმი და 94 ექთანი.
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დოკუმენტი არ მაქვს  5 000 000 - ზე</t>
        </r>
      </text>
    </comment>
  </commentList>
</comments>
</file>

<file path=xl/sharedStrings.xml><?xml version="1.0" encoding="utf-8"?>
<sst xmlns="http://schemas.openxmlformats.org/spreadsheetml/2006/main" count="201" uniqueCount="134">
  <si>
    <t>გეგმა</t>
  </si>
  <si>
    <t>სულ</t>
  </si>
  <si>
    <t>დამტკიცებული ბიუჯეტი</t>
  </si>
  <si>
    <t>დაზუსტებული ბიუჯეტი</t>
  </si>
  <si>
    <t>ბენეფიციარი</t>
  </si>
  <si>
    <t>შემთხვევა</t>
  </si>
  <si>
    <t>საკასო ხარჯი</t>
  </si>
  <si>
    <t>35 03 02 12 01</t>
  </si>
  <si>
    <t>35 03 03 11</t>
  </si>
  <si>
    <t>35 03 02 06 01</t>
  </si>
  <si>
    <t>ინფექციური დაავადებების მართვა</t>
  </si>
  <si>
    <t>35 03 02 07 01</t>
  </si>
  <si>
    <t>ტუბერკულოზის მართვა</t>
  </si>
  <si>
    <t>სტაციონარული მომსახურება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</si>
  <si>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</si>
  <si>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35 03 02 08 01</t>
  </si>
  <si>
    <t>აივ ინფექცია/შიდსი</t>
  </si>
  <si>
    <t>აივ ინფექცია/შიდსით დაავადებულთა სტაციონარული მომსახურებით უზრუნველყოფა</t>
  </si>
  <si>
    <t>35 03 02 09 01</t>
  </si>
  <si>
    <t>დედათა და ბავშვთა ჯანმრთელობა</t>
  </si>
  <si>
    <t>ანტენატალური მეთვალყურეობა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</si>
  <si>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</si>
  <si>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</si>
  <si>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35 03 02 10</t>
  </si>
  <si>
    <t>ნარკომანიით დაავადებულ პაციენტთა მკურნალობა</t>
  </si>
  <si>
    <t>ეფექტურობის შეფასების კომპონენტი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</si>
  <si>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</si>
  <si>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C ჰეპატიტის მართვის პირველი ეტაპის ღონისძიებების უზრუნველყოფა</t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</si>
  <si>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</si>
  <si>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</si>
  <si>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</si>
  <si>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t>35 03 03 01</t>
  </si>
  <si>
    <t>ფსიქიკური ჯანმრთელობა</t>
  </si>
  <si>
    <t xml:space="preserve">35 03 03 02 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</si>
  <si>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</si>
  <si>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</si>
  <si>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აბულატორიული დახმარება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</si>
  <si>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</si>
  <si>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</si>
  <si>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</si>
  <si>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35 03 03 04 01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</si>
  <si>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</si>
  <si>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</si>
  <si>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</si>
  <si>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</si>
  <si>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</si>
  <si>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</si>
  <si>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>სამკურნალო საშუალებათა ტრანსპორტირება, შენახვა და გაცემა</t>
  </si>
  <si>
    <t xml:space="preserve">35 03 03 05 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</si>
  <si>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</si>
  <si>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</si>
  <si>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</si>
  <si>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 xml:space="preserve">35 03 03 06 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</si>
  <si>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</si>
  <si>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</si>
  <si>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</si>
  <si>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</si>
  <si>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35 03 03 07 01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</si>
  <si>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</si>
  <si>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</si>
  <si>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</si>
  <si>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</si>
  <si>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</si>
  <si>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</si>
  <si>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</si>
  <si>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35 03 03 09 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</si>
  <si>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</si>
  <si>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</si>
  <si>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</si>
  <si>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</si>
  <si>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</si>
  <si>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</si>
  <si>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</si>
  <si>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უზრუნველყოფის პროგრამა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</si>
  <si>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</si>
  <si>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ქრონიკული დაავადებათა სამკურნალო ფარმაცევტული პროდუქტის შესყიდვა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</si>
  <si>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</si>
  <si>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</si>
  <si>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სამედიცინო მომსახურება სიფილისზე ეჭვის შემთხვევაში</t>
  </si>
  <si>
    <t>N2 და N8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</si>
  <si>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r>
      <t>სტაციონარული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დეტოქსიკაცია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პირველადი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რეაბილიტაცია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ოპიოიდების</t>
    </r>
    <r>
      <rPr>
        <sz val="12"/>
        <rFont val="Times New Roman"/>
        <family val="1"/>
        <charset val="204"/>
      </rPr>
      <t xml:space="preserve">, სტიმულატორების და სხვა </t>
    </r>
    <r>
      <rPr>
        <sz val="12"/>
        <rFont val="Sylfaen"/>
        <family val="1"/>
        <charset val="204"/>
      </rPr>
      <t>ფსიქოაქტიური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ნივთიერებების, მოხმარებით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გამოწვეული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ფსიქიკური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ქცევითი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აშლილობების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დროს</t>
    </r>
  </si>
  <si>
    <r>
      <t>ჩანაცვლებითი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თერაპიის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განხორციელება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მიწოდების</t>
    </r>
    <r>
      <rPr>
        <sz val="12"/>
        <rFont val="Times New Roman"/>
        <family val="1"/>
        <charset val="204"/>
      </rPr>
      <t xml:space="preserve"> (</t>
    </r>
    <r>
      <rPr>
        <sz val="12"/>
        <rFont val="Sylfaen"/>
        <family val="1"/>
        <charset val="204"/>
      </rPr>
      <t>ტრანსპორტირება</t>
    </r>
    <r>
      <rPr>
        <sz val="12"/>
        <rFont val="Times New Roman"/>
        <family val="1"/>
        <charset val="204"/>
      </rPr>
      <t xml:space="preserve">, </t>
    </r>
    <r>
      <rPr>
        <sz val="12"/>
        <rFont val="Sylfaen"/>
        <family val="1"/>
        <charset val="204"/>
      </rPr>
      <t>ბადრაგირება</t>
    </r>
    <r>
      <rPr>
        <sz val="12"/>
        <rFont val="Times New Roman"/>
        <family val="1"/>
        <charset val="204"/>
      </rPr>
      <t xml:space="preserve">) </t>
    </r>
    <r>
      <rPr>
        <sz val="12"/>
        <rFont val="Sylfaen"/>
        <family val="1"/>
        <charset val="204"/>
      </rPr>
      <t>უზრუნველყოფა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ქ</t>
    </r>
    <r>
      <rPr>
        <sz val="12"/>
        <rFont val="Times New Roman"/>
        <family val="1"/>
        <charset val="204"/>
      </rPr>
      <t xml:space="preserve">. </t>
    </r>
    <r>
      <rPr>
        <sz val="12"/>
        <rFont val="Sylfaen"/>
        <family val="1"/>
        <charset val="204"/>
      </rPr>
      <t>თბილისსა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</si>
  <si>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შესყიდვა</t>
    </r>
  </si>
  <si>
    <r>
      <t>ჩამანაცვლებელი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ფარმაცევტული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პროდუქტის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ტრანსპორტირება</t>
    </r>
    <r>
      <rPr>
        <sz val="12"/>
        <rFont val="Times New Roman"/>
        <family val="1"/>
        <charset val="204"/>
      </rPr>
      <t xml:space="preserve">, </t>
    </r>
    <r>
      <rPr>
        <sz val="12"/>
        <rFont val="Sylfaen"/>
        <family val="1"/>
        <charset val="204"/>
      </rPr>
      <t>შენახვა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და</t>
    </r>
    <r>
      <rPr>
        <sz val="12"/>
        <rFont val="Times New Roman"/>
        <family val="1"/>
        <charset val="204"/>
      </rPr>
      <t xml:space="preserve"> </t>
    </r>
    <r>
      <rPr>
        <sz val="12"/>
        <rFont val="Sylfaen"/>
        <family val="1"/>
        <charset val="204"/>
      </rPr>
      <t>გაცემა</t>
    </r>
  </si>
  <si>
    <t>საქართველოს მთავრობის N592 დადგენილებით დამტკიცებული ბიუჯეტი</t>
  </si>
  <si>
    <t xml:space="preserve">ს უ ლ </t>
  </si>
  <si>
    <t>I კვარტალი</t>
  </si>
  <si>
    <r>
      <t xml:space="preserve">იანვარი
</t>
    </r>
    <r>
      <rPr>
        <sz val="12"/>
        <rFont val="Sylfaen"/>
        <family val="1"/>
      </rPr>
      <t>(სექატემბრის/ოქტომბრის/ნოემბრის/დეკემბრის თვის შესრულება, სადავო)</t>
    </r>
  </si>
  <si>
    <r>
      <t xml:space="preserve">თებერვალი
</t>
    </r>
    <r>
      <rPr>
        <sz val="12"/>
        <rFont val="Sylfaen"/>
        <family val="1"/>
        <charset val="204"/>
      </rPr>
      <t>(ივლისის/ოქტომბრის/ნოემბრის/დეკემბრის/იანვრის თვის შესრულება, სადავო)</t>
    </r>
  </si>
  <si>
    <r>
      <t xml:space="preserve">მარტი
</t>
    </r>
    <r>
      <rPr>
        <sz val="12"/>
        <rFont val="Sylfaen"/>
        <family val="1"/>
        <charset val="204"/>
      </rPr>
      <t>(თებერვლის თვის შესრულება)</t>
    </r>
  </si>
  <si>
    <t>II კვარტალი</t>
  </si>
  <si>
    <r>
      <t xml:space="preserve">აპრილი
</t>
    </r>
    <r>
      <rPr>
        <sz val="12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</si>
  <si>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2"/>
        <rFont val="Sylfaen"/>
        <family val="1"/>
        <charset val="204"/>
      </rPr>
      <t>(აპრილის თვის შესრულება)</t>
    </r>
  </si>
  <si>
    <r>
      <t xml:space="preserve">ივნისი
</t>
    </r>
    <r>
      <rPr>
        <sz val="12"/>
        <rFont val="Sylfaen"/>
        <family val="1"/>
        <charset val="204"/>
      </rPr>
      <t>(მაისის თვის შესრულება)</t>
    </r>
  </si>
  <si>
    <t>III კვარტალი</t>
  </si>
  <si>
    <r>
      <t xml:space="preserve">ივლისი
</t>
    </r>
    <r>
      <rPr>
        <sz val="12"/>
        <rFont val="Sylfaen"/>
        <family val="1"/>
        <charset val="204"/>
      </rPr>
      <t>(მაისი, ივნისის თვის შესრულება)</t>
    </r>
  </si>
  <si>
    <r>
      <t xml:space="preserve">აგვისტო
</t>
    </r>
    <r>
      <rPr>
        <sz val="12"/>
        <rFont val="Sylfaen"/>
        <family val="1"/>
        <charset val="204"/>
      </rPr>
      <t>(მაისი, ივნისი, ივლისის თვის შესრულება)</t>
    </r>
  </si>
  <si>
    <r>
      <t xml:space="preserve">სექტემბერი
</t>
    </r>
    <r>
      <rPr>
        <sz val="12"/>
        <rFont val="Sylfaen"/>
        <family val="1"/>
        <charset val="204"/>
      </rPr>
      <t>(ივნისი, ივლისი, აგვისტოს თვის შესრულება)</t>
    </r>
  </si>
  <si>
    <t>IV კვარტალი</t>
  </si>
  <si>
    <r>
      <t xml:space="preserve">ოქტომბერი
</t>
    </r>
    <r>
      <rPr>
        <sz val="10"/>
        <rFont val="Sylfaen"/>
        <family val="1"/>
        <charset val="204"/>
      </rPr>
      <t>(ივლისი, აგვისტო, 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</si>
  <si>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(აგვისტო, სექტემბერი, 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</si>
  <si>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(სექტემბერი, ოქტომბერი, 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</si>
  <si>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წლიური
გეგმა</t>
  </si>
  <si>
    <t>ანაზღაურებას დაქვემდებარებული თანხა</t>
  </si>
  <si>
    <t>შესრულებული სამუშაო</t>
  </si>
  <si>
    <r>
      <rPr>
        <b/>
        <sz val="12"/>
        <rFont val="LitNusx"/>
        <family val="2"/>
      </rPr>
      <t>ამბულატორიული მომსახურება</t>
    </r>
    <r>
      <rPr>
        <sz val="12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</si>
  <si>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აივ ინფექცია/შიდსით დაავადებულთა ამბულატორიული მომსახურებით უზრუნველყოფა</t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</si>
  <si>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>ფოლუმის მჟავისა და რკინის პრეპარატების შესყიდვა</t>
    </r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</si>
  <si>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</si>
  <si>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12"/>
        <rFont val="AcadNusx"/>
      </rPr>
      <t xml:space="preserve">მედიკამენტებითა და საკვები დანამატებით უზრუნველყოფის კომპონენტი – </t>
    </r>
    <r>
      <rPr>
        <sz val="12"/>
        <rFont val="AcadNusx"/>
      </rPr>
      <t>მიკროელემენტების შემცველი საკვები დანამატების შესყიდვა</t>
    </r>
  </si>
  <si>
    <t>ფსიქო-სოციალური რეაბილიტაციის უზრუნველყოფა</t>
  </si>
  <si>
    <r>
      <rPr>
        <b/>
        <sz val="12"/>
        <rFont val="AcadNusx"/>
      </rPr>
      <t xml:space="preserve">ამბულატორიული მომსახურება- </t>
    </r>
    <r>
      <rPr>
        <sz val="12"/>
        <rFont val="AcadNusx"/>
      </rPr>
      <t>სათემო ამბულატორიული მომსახურება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</si>
  <si>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ფსიქოსოციალური რეაბილიტაცია</t>
    </r>
  </si>
  <si>
    <r>
      <rPr>
        <b/>
        <sz val="12"/>
        <rFont val="AcadNusx"/>
      </rPr>
      <t>ამბულატორიული მომსახურება</t>
    </r>
    <r>
      <rPr>
        <sz val="12"/>
        <rFont val="AcadNusx"/>
      </rPr>
      <t xml:space="preserve"> - ბავშვთა ფსიქიკური ჯანმრთელობა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</si>
  <si>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ფსიქიატრიული კრიზისული ინტერვენცია</t>
    </r>
  </si>
  <si>
    <r>
      <rPr>
        <b/>
        <sz val="12"/>
        <rFont val="AcadNusx"/>
      </rPr>
      <t xml:space="preserve">ამბულატორიული მომსახურება </t>
    </r>
    <r>
      <rPr>
        <sz val="12"/>
        <rFont val="AcadNusx"/>
      </rPr>
      <t>- თემზე დაფუძნებული მობილური გუნდის მომსახურება</t>
    </r>
  </si>
  <si>
    <r>
      <rPr>
        <b/>
        <sz val="12"/>
        <rFont val="AcadNusx"/>
      </rPr>
      <t xml:space="preserve">სტაციონარული მომსახურება </t>
    </r>
    <r>
      <rPr>
        <sz val="12"/>
        <rFont val="AcadNusx"/>
      </rPr>
      <t xml:space="preserve">- მოზრდილთა ფსიქიატრიული სტაციონარულიი მომსახურება </t>
    </r>
  </si>
  <si>
    <r>
      <rPr>
        <b/>
        <sz val="12"/>
        <rFont val="AcadNusx"/>
      </rPr>
      <t xml:space="preserve">სტაციონარული მომსახურება  </t>
    </r>
    <r>
      <rPr>
        <sz val="12"/>
        <rFont val="AcadNusx"/>
      </rPr>
      <t xml:space="preserve">- ბავშვთა ფსიქიატრიული სტაციონარულიი მომსახურება </t>
    </r>
  </si>
  <si>
    <r>
      <rPr>
        <b/>
        <sz val="12"/>
        <rFont val="AcadNusx"/>
      </rPr>
      <t>სტაციონარული მომსახურება</t>
    </r>
    <r>
      <rPr>
        <sz val="12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</si>
  <si>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</si>
  <si>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</si>
  <si>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12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 </t>
    </r>
    <r>
      <rPr>
        <sz val="12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</si>
  <si>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r>
      <rPr>
        <b/>
        <sz val="12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2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</si>
  <si>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12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2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</si>
  <si>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</si>
  <si>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</si>
  <si>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</si>
  <si>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</si>
  <si>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</si>
  <si>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12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12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</si>
  <si>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12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12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</si>
  <si>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12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12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</si>
  <si>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სასწრაფო სამედიცინო დახმარება</t>
  </si>
  <si>
    <t>ლოჯისტიკის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</si>
</sst>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₾_-;\-* #,##0.00\ _₾_-;_-* &quot;-&quot;??\ _₾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sz val="10"/>
      <name val="Arial"/>
      <family val="2"/>
    </font>
    <font>
      <sz val="12"/>
      <name val="Sylfaen"/>
      <family val="1"/>
    </font>
    <font>
      <b/>
      <sz val="10"/>
      <name val="Sylfaen"/>
      <family val="1"/>
      <charset val="204"/>
    </font>
    <font>
      <sz val="10"/>
      <name val="Arial"/>
      <family val="2"/>
    </font>
    <font>
      <sz val="10"/>
      <name val="Sylfaen"/>
      <family val="1"/>
      <charset val="204"/>
    </font>
    <font>
      <sz val="9"/>
      <name val="Calibri"/>
      <family val="2"/>
      <charset val="204"/>
      <scheme val="minor"/>
    </font>
    <font>
      <sz val="10"/>
      <name val="AcadMtav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cadMtavr"/>
    </font>
    <font>
      <b/>
      <sz val="9"/>
      <name val="AcadMtavr"/>
    </font>
    <font>
      <sz val="12"/>
      <name val="AcadNusx"/>
    </font>
    <font>
      <sz val="12"/>
      <name val="AcadMtavr"/>
    </font>
    <font>
      <sz val="9"/>
      <name val="AcadMtavr"/>
    </font>
    <font>
      <b/>
      <sz val="10"/>
      <name val="AcadMtavr"/>
    </font>
    <font>
      <sz val="12"/>
      <name val="LitNusx"/>
      <family val="2"/>
    </font>
    <font>
      <sz val="12"/>
      <name val="Times New Roman"/>
      <family val="1"/>
      <charset val="204"/>
    </font>
    <font>
      <b/>
      <sz val="12"/>
      <name val="Copperplate Gothic Bold"/>
      <family val="2"/>
    </font>
    <font>
      <sz val="12"/>
      <name val="Broadway"/>
      <family val="5"/>
    </font>
    <font>
      <b/>
      <sz val="9"/>
      <name val="AcadNusx"/>
    </font>
    <font>
      <b/>
      <sz val="12"/>
      <name val="AcadNusx"/>
    </font>
    <font>
      <sz val="9"/>
      <name val="AcadNusx"/>
    </font>
    <font>
      <b/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9"/>
      <name val="AcadNusx"/>
    </font>
    <font>
      <b/>
      <sz val="12"/>
      <name val="LitNusx"/>
      <family val="2"/>
    </font>
    <font>
      <b/>
      <i/>
      <sz val="9"/>
      <name val="AcadNusx"/>
    </font>
    <font>
      <b/>
      <sz val="9"/>
      <name val="Calibri"/>
      <family val="2"/>
      <scheme val="minor"/>
    </font>
    <font>
      <sz val="9"/>
      <name val="LitNusx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10" fillId="0" borderId="0"/>
    <xf numFmtId="0" fontId="7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3" fontId="16" fillId="3" borderId="5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center" vertical="center"/>
    </xf>
    <xf numFmtId="0" fontId="18" fillId="3" borderId="1" xfId="6" applyFont="1" applyFill="1" applyBorder="1" applyAlignment="1">
      <alignment horizontal="left" vertical="center" wrapText="1"/>
    </xf>
    <xf numFmtId="3" fontId="19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4" fontId="12" fillId="3" borderId="1" xfId="6" applyNumberFormat="1" applyFont="1" applyFill="1" applyBorder="1" applyAlignment="1" applyProtection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18" fillId="3" borderId="1" xfId="6" applyFont="1" applyFill="1" applyBorder="1" applyAlignment="1">
      <alignment horizontal="left" vertical="top" wrapText="1"/>
    </xf>
    <xf numFmtId="0" fontId="24" fillId="3" borderId="1" xfId="6" applyFont="1" applyFill="1" applyBorder="1" applyAlignment="1">
      <alignment horizontal="left" vertical="center" wrapText="1"/>
    </xf>
    <xf numFmtId="0" fontId="25" fillId="3" borderId="1" xfId="6" applyFont="1" applyFill="1" applyBorder="1" applyAlignment="1">
      <alignment horizontal="left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0" fontId="18" fillId="3" borderId="1" xfId="6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8" fillId="3" borderId="0" xfId="0" applyFont="1" applyFill="1"/>
    <xf numFmtId="0" fontId="2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/>
    <xf numFmtId="0" fontId="3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17" fillId="3" borderId="5" xfId="0" applyNumberFormat="1" applyFont="1" applyFill="1" applyBorder="1" applyAlignment="1">
      <alignment horizontal="center" vertical="center"/>
    </xf>
    <xf numFmtId="4" fontId="16" fillId="3" borderId="5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4" fontId="31" fillId="3" borderId="1" xfId="6" applyNumberFormat="1" applyFont="1" applyFill="1" applyBorder="1" applyAlignment="1" applyProtection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32" fillId="3" borderId="0" xfId="0" applyFont="1" applyFill="1"/>
    <xf numFmtId="0" fontId="22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4" fontId="12" fillId="3" borderId="5" xfId="6" applyNumberFormat="1" applyFont="1" applyFill="1" applyBorder="1" applyAlignment="1" applyProtection="1">
      <alignment horizontal="center" vertical="center" wrapText="1"/>
    </xf>
    <xf numFmtId="0" fontId="34" fillId="3" borderId="0" xfId="0" applyFont="1" applyFill="1"/>
    <xf numFmtId="4" fontId="32" fillId="3" borderId="1" xfId="0" applyNumberFormat="1" applyFont="1" applyFill="1" applyBorder="1" applyAlignment="1">
      <alignment horizontal="center" vertical="center" wrapText="1"/>
    </xf>
    <xf numFmtId="4" fontId="35" fillId="3" borderId="1" xfId="6" applyNumberFormat="1" applyFont="1" applyFill="1" applyBorder="1" applyAlignment="1" applyProtection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/>
    </xf>
    <xf numFmtId="0" fontId="26" fillId="3" borderId="0" xfId="0" applyFont="1" applyFill="1"/>
    <xf numFmtId="0" fontId="26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Border="1"/>
    <xf numFmtId="4" fontId="21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164" fontId="28" fillId="3" borderId="0" xfId="1" applyFont="1" applyFill="1"/>
    <xf numFmtId="3" fontId="28" fillId="3" borderId="0" xfId="0" applyNumberFormat="1" applyFont="1" applyFill="1"/>
    <xf numFmtId="0" fontId="9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8">
    <cellStyle name="Comma" xfId="1" builtinId="3"/>
    <cellStyle name="Comma 3" xfId="7"/>
    <cellStyle name="Good 2" xfId="3"/>
    <cellStyle name="Normal" xfId="0" builtinId="0"/>
    <cellStyle name="Normal 2" xfId="4"/>
    <cellStyle name="Normal 4" xfId="2"/>
    <cellStyle name="Normal 5" xfId="5"/>
    <cellStyle name="Normal_cxrili 30.12.2008 BOLOOOOO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669"/>
  <sheetViews>
    <sheetView tabSelected="1" topLeftCell="B1" zoomScale="70" zoomScaleNormal="70" workbookViewId="0">
      <selection activeCell="N15" sqref="N15"/>
    </sheetView>
  </sheetViews>
  <sheetFormatPr defaultRowHeight="20.100000000000001" customHeight="1" x14ac:dyDescent="0.25"/>
  <cols>
    <col min="1" max="1" width="12.28515625" style="56" hidden="1" customWidth="1"/>
    <col min="2" max="2" width="32" style="57" customWidth="1"/>
    <col min="3" max="4" width="17.5703125" style="58" customWidth="1"/>
    <col min="5" max="5" width="20.7109375" style="19" customWidth="1"/>
    <col min="6" max="13" width="17.5703125" style="19" customWidth="1"/>
    <col min="14" max="14" width="15.85546875" style="19" customWidth="1"/>
    <col min="15" max="15" width="14.5703125" style="19" customWidth="1"/>
    <col min="16" max="26" width="17.5703125" style="19" customWidth="1"/>
    <col min="27" max="33" width="17.5703125" style="59" customWidth="1"/>
    <col min="34" max="34" width="17.5703125" style="19" customWidth="1"/>
    <col min="35" max="35" width="17.5703125" style="60" customWidth="1"/>
    <col min="36" max="37" width="17.5703125" style="61" customWidth="1"/>
    <col min="38" max="49" width="17.5703125" style="19" customWidth="1"/>
    <col min="50" max="50" width="19.85546875" style="19" customWidth="1"/>
    <col min="51" max="79" width="17.5703125" style="19" customWidth="1"/>
    <col min="80" max="80" width="20.85546875" style="19" customWidth="1"/>
    <col min="81" max="256" width="9.140625" style="19"/>
    <col min="257" max="257" width="0" style="19" hidden="1" customWidth="1"/>
    <col min="258" max="258" width="26.140625" style="19" customWidth="1"/>
    <col min="259" max="260" width="17.5703125" style="19" customWidth="1"/>
    <col min="261" max="261" width="20.7109375" style="19" customWidth="1"/>
    <col min="262" max="269" width="17.5703125" style="19" customWidth="1"/>
    <col min="270" max="270" width="15.85546875" style="19" customWidth="1"/>
    <col min="271" max="271" width="14.5703125" style="19" customWidth="1"/>
    <col min="272" max="305" width="17.5703125" style="19" customWidth="1"/>
    <col min="306" max="306" width="19.85546875" style="19" customWidth="1"/>
    <col min="307" max="335" width="17.5703125" style="19" customWidth="1"/>
    <col min="336" max="336" width="20.85546875" style="19" customWidth="1"/>
    <col min="337" max="512" width="9.140625" style="19"/>
    <col min="513" max="513" width="0" style="19" hidden="1" customWidth="1"/>
    <col min="514" max="514" width="26.140625" style="19" customWidth="1"/>
    <col min="515" max="516" width="17.5703125" style="19" customWidth="1"/>
    <col min="517" max="517" width="20.7109375" style="19" customWidth="1"/>
    <col min="518" max="525" width="17.5703125" style="19" customWidth="1"/>
    <col min="526" max="526" width="15.85546875" style="19" customWidth="1"/>
    <col min="527" max="527" width="14.5703125" style="19" customWidth="1"/>
    <col min="528" max="561" width="17.5703125" style="19" customWidth="1"/>
    <col min="562" max="562" width="19.85546875" style="19" customWidth="1"/>
    <col min="563" max="591" width="17.5703125" style="19" customWidth="1"/>
    <col min="592" max="592" width="20.85546875" style="19" customWidth="1"/>
    <col min="593" max="768" width="9.140625" style="19"/>
    <col min="769" max="769" width="0" style="19" hidden="1" customWidth="1"/>
    <col min="770" max="770" width="26.140625" style="19" customWidth="1"/>
    <col min="771" max="772" width="17.5703125" style="19" customWidth="1"/>
    <col min="773" max="773" width="20.7109375" style="19" customWidth="1"/>
    <col min="774" max="781" width="17.5703125" style="19" customWidth="1"/>
    <col min="782" max="782" width="15.85546875" style="19" customWidth="1"/>
    <col min="783" max="783" width="14.5703125" style="19" customWidth="1"/>
    <col min="784" max="817" width="17.5703125" style="19" customWidth="1"/>
    <col min="818" max="818" width="19.85546875" style="19" customWidth="1"/>
    <col min="819" max="847" width="17.5703125" style="19" customWidth="1"/>
    <col min="848" max="848" width="20.85546875" style="19" customWidth="1"/>
    <col min="849" max="1024" width="9.140625" style="19"/>
    <col min="1025" max="1025" width="0" style="19" hidden="1" customWidth="1"/>
    <col min="1026" max="1026" width="26.140625" style="19" customWidth="1"/>
    <col min="1027" max="1028" width="17.5703125" style="19" customWidth="1"/>
    <col min="1029" max="1029" width="20.7109375" style="19" customWidth="1"/>
    <col min="1030" max="1037" width="17.5703125" style="19" customWidth="1"/>
    <col min="1038" max="1038" width="15.85546875" style="19" customWidth="1"/>
    <col min="1039" max="1039" width="14.5703125" style="19" customWidth="1"/>
    <col min="1040" max="1073" width="17.5703125" style="19" customWidth="1"/>
    <col min="1074" max="1074" width="19.85546875" style="19" customWidth="1"/>
    <col min="1075" max="1103" width="17.5703125" style="19" customWidth="1"/>
    <col min="1104" max="1104" width="20.85546875" style="19" customWidth="1"/>
    <col min="1105" max="1280" width="9.140625" style="19"/>
    <col min="1281" max="1281" width="0" style="19" hidden="1" customWidth="1"/>
    <col min="1282" max="1282" width="26.140625" style="19" customWidth="1"/>
    <col min="1283" max="1284" width="17.5703125" style="19" customWidth="1"/>
    <col min="1285" max="1285" width="20.7109375" style="19" customWidth="1"/>
    <col min="1286" max="1293" width="17.5703125" style="19" customWidth="1"/>
    <col min="1294" max="1294" width="15.85546875" style="19" customWidth="1"/>
    <col min="1295" max="1295" width="14.5703125" style="19" customWidth="1"/>
    <col min="1296" max="1329" width="17.5703125" style="19" customWidth="1"/>
    <col min="1330" max="1330" width="19.85546875" style="19" customWidth="1"/>
    <col min="1331" max="1359" width="17.5703125" style="19" customWidth="1"/>
    <col min="1360" max="1360" width="20.85546875" style="19" customWidth="1"/>
    <col min="1361" max="1536" width="9.140625" style="19"/>
    <col min="1537" max="1537" width="0" style="19" hidden="1" customWidth="1"/>
    <col min="1538" max="1538" width="26.140625" style="19" customWidth="1"/>
    <col min="1539" max="1540" width="17.5703125" style="19" customWidth="1"/>
    <col min="1541" max="1541" width="20.7109375" style="19" customWidth="1"/>
    <col min="1542" max="1549" width="17.5703125" style="19" customWidth="1"/>
    <col min="1550" max="1550" width="15.85546875" style="19" customWidth="1"/>
    <col min="1551" max="1551" width="14.5703125" style="19" customWidth="1"/>
    <col min="1552" max="1585" width="17.5703125" style="19" customWidth="1"/>
    <col min="1586" max="1586" width="19.85546875" style="19" customWidth="1"/>
    <col min="1587" max="1615" width="17.5703125" style="19" customWidth="1"/>
    <col min="1616" max="1616" width="20.85546875" style="19" customWidth="1"/>
    <col min="1617" max="1792" width="9.140625" style="19"/>
    <col min="1793" max="1793" width="0" style="19" hidden="1" customWidth="1"/>
    <col min="1794" max="1794" width="26.140625" style="19" customWidth="1"/>
    <col min="1795" max="1796" width="17.5703125" style="19" customWidth="1"/>
    <col min="1797" max="1797" width="20.7109375" style="19" customWidth="1"/>
    <col min="1798" max="1805" width="17.5703125" style="19" customWidth="1"/>
    <col min="1806" max="1806" width="15.85546875" style="19" customWidth="1"/>
    <col min="1807" max="1807" width="14.5703125" style="19" customWidth="1"/>
    <col min="1808" max="1841" width="17.5703125" style="19" customWidth="1"/>
    <col min="1842" max="1842" width="19.85546875" style="19" customWidth="1"/>
    <col min="1843" max="1871" width="17.5703125" style="19" customWidth="1"/>
    <col min="1872" max="1872" width="20.85546875" style="19" customWidth="1"/>
    <col min="1873" max="2048" width="9.140625" style="19"/>
    <col min="2049" max="2049" width="0" style="19" hidden="1" customWidth="1"/>
    <col min="2050" max="2050" width="26.140625" style="19" customWidth="1"/>
    <col min="2051" max="2052" width="17.5703125" style="19" customWidth="1"/>
    <col min="2053" max="2053" width="20.7109375" style="19" customWidth="1"/>
    <col min="2054" max="2061" width="17.5703125" style="19" customWidth="1"/>
    <col min="2062" max="2062" width="15.85546875" style="19" customWidth="1"/>
    <col min="2063" max="2063" width="14.5703125" style="19" customWidth="1"/>
    <col min="2064" max="2097" width="17.5703125" style="19" customWidth="1"/>
    <col min="2098" max="2098" width="19.85546875" style="19" customWidth="1"/>
    <col min="2099" max="2127" width="17.5703125" style="19" customWidth="1"/>
    <col min="2128" max="2128" width="20.85546875" style="19" customWidth="1"/>
    <col min="2129" max="2304" width="9.140625" style="19"/>
    <col min="2305" max="2305" width="0" style="19" hidden="1" customWidth="1"/>
    <col min="2306" max="2306" width="26.140625" style="19" customWidth="1"/>
    <col min="2307" max="2308" width="17.5703125" style="19" customWidth="1"/>
    <col min="2309" max="2309" width="20.7109375" style="19" customWidth="1"/>
    <col min="2310" max="2317" width="17.5703125" style="19" customWidth="1"/>
    <col min="2318" max="2318" width="15.85546875" style="19" customWidth="1"/>
    <col min="2319" max="2319" width="14.5703125" style="19" customWidth="1"/>
    <col min="2320" max="2353" width="17.5703125" style="19" customWidth="1"/>
    <col min="2354" max="2354" width="19.85546875" style="19" customWidth="1"/>
    <col min="2355" max="2383" width="17.5703125" style="19" customWidth="1"/>
    <col min="2384" max="2384" width="20.85546875" style="19" customWidth="1"/>
    <col min="2385" max="2560" width="9.140625" style="19"/>
    <col min="2561" max="2561" width="0" style="19" hidden="1" customWidth="1"/>
    <col min="2562" max="2562" width="26.140625" style="19" customWidth="1"/>
    <col min="2563" max="2564" width="17.5703125" style="19" customWidth="1"/>
    <col min="2565" max="2565" width="20.7109375" style="19" customWidth="1"/>
    <col min="2566" max="2573" width="17.5703125" style="19" customWidth="1"/>
    <col min="2574" max="2574" width="15.85546875" style="19" customWidth="1"/>
    <col min="2575" max="2575" width="14.5703125" style="19" customWidth="1"/>
    <col min="2576" max="2609" width="17.5703125" style="19" customWidth="1"/>
    <col min="2610" max="2610" width="19.85546875" style="19" customWidth="1"/>
    <col min="2611" max="2639" width="17.5703125" style="19" customWidth="1"/>
    <col min="2640" max="2640" width="20.85546875" style="19" customWidth="1"/>
    <col min="2641" max="2816" width="9.140625" style="19"/>
    <col min="2817" max="2817" width="0" style="19" hidden="1" customWidth="1"/>
    <col min="2818" max="2818" width="26.140625" style="19" customWidth="1"/>
    <col min="2819" max="2820" width="17.5703125" style="19" customWidth="1"/>
    <col min="2821" max="2821" width="20.7109375" style="19" customWidth="1"/>
    <col min="2822" max="2829" width="17.5703125" style="19" customWidth="1"/>
    <col min="2830" max="2830" width="15.85546875" style="19" customWidth="1"/>
    <col min="2831" max="2831" width="14.5703125" style="19" customWidth="1"/>
    <col min="2832" max="2865" width="17.5703125" style="19" customWidth="1"/>
    <col min="2866" max="2866" width="19.85546875" style="19" customWidth="1"/>
    <col min="2867" max="2895" width="17.5703125" style="19" customWidth="1"/>
    <col min="2896" max="2896" width="20.85546875" style="19" customWidth="1"/>
    <col min="2897" max="3072" width="9.140625" style="19"/>
    <col min="3073" max="3073" width="0" style="19" hidden="1" customWidth="1"/>
    <col min="3074" max="3074" width="26.140625" style="19" customWidth="1"/>
    <col min="3075" max="3076" width="17.5703125" style="19" customWidth="1"/>
    <col min="3077" max="3077" width="20.7109375" style="19" customWidth="1"/>
    <col min="3078" max="3085" width="17.5703125" style="19" customWidth="1"/>
    <col min="3086" max="3086" width="15.85546875" style="19" customWidth="1"/>
    <col min="3087" max="3087" width="14.5703125" style="19" customWidth="1"/>
    <col min="3088" max="3121" width="17.5703125" style="19" customWidth="1"/>
    <col min="3122" max="3122" width="19.85546875" style="19" customWidth="1"/>
    <col min="3123" max="3151" width="17.5703125" style="19" customWidth="1"/>
    <col min="3152" max="3152" width="20.85546875" style="19" customWidth="1"/>
    <col min="3153" max="3328" width="9.140625" style="19"/>
    <col min="3329" max="3329" width="0" style="19" hidden="1" customWidth="1"/>
    <col min="3330" max="3330" width="26.140625" style="19" customWidth="1"/>
    <col min="3331" max="3332" width="17.5703125" style="19" customWidth="1"/>
    <col min="3333" max="3333" width="20.7109375" style="19" customWidth="1"/>
    <col min="3334" max="3341" width="17.5703125" style="19" customWidth="1"/>
    <col min="3342" max="3342" width="15.85546875" style="19" customWidth="1"/>
    <col min="3343" max="3343" width="14.5703125" style="19" customWidth="1"/>
    <col min="3344" max="3377" width="17.5703125" style="19" customWidth="1"/>
    <col min="3378" max="3378" width="19.85546875" style="19" customWidth="1"/>
    <col min="3379" max="3407" width="17.5703125" style="19" customWidth="1"/>
    <col min="3408" max="3408" width="20.85546875" style="19" customWidth="1"/>
    <col min="3409" max="3584" width="9.140625" style="19"/>
    <col min="3585" max="3585" width="0" style="19" hidden="1" customWidth="1"/>
    <col min="3586" max="3586" width="26.140625" style="19" customWidth="1"/>
    <col min="3587" max="3588" width="17.5703125" style="19" customWidth="1"/>
    <col min="3589" max="3589" width="20.7109375" style="19" customWidth="1"/>
    <col min="3590" max="3597" width="17.5703125" style="19" customWidth="1"/>
    <col min="3598" max="3598" width="15.85546875" style="19" customWidth="1"/>
    <col min="3599" max="3599" width="14.5703125" style="19" customWidth="1"/>
    <col min="3600" max="3633" width="17.5703125" style="19" customWidth="1"/>
    <col min="3634" max="3634" width="19.85546875" style="19" customWidth="1"/>
    <col min="3635" max="3663" width="17.5703125" style="19" customWidth="1"/>
    <col min="3664" max="3664" width="20.85546875" style="19" customWidth="1"/>
    <col min="3665" max="3840" width="9.140625" style="19"/>
    <col min="3841" max="3841" width="0" style="19" hidden="1" customWidth="1"/>
    <col min="3842" max="3842" width="26.140625" style="19" customWidth="1"/>
    <col min="3843" max="3844" width="17.5703125" style="19" customWidth="1"/>
    <col min="3845" max="3845" width="20.7109375" style="19" customWidth="1"/>
    <col min="3846" max="3853" width="17.5703125" style="19" customWidth="1"/>
    <col min="3854" max="3854" width="15.85546875" style="19" customWidth="1"/>
    <col min="3855" max="3855" width="14.5703125" style="19" customWidth="1"/>
    <col min="3856" max="3889" width="17.5703125" style="19" customWidth="1"/>
    <col min="3890" max="3890" width="19.85546875" style="19" customWidth="1"/>
    <col min="3891" max="3919" width="17.5703125" style="19" customWidth="1"/>
    <col min="3920" max="3920" width="20.85546875" style="19" customWidth="1"/>
    <col min="3921" max="4096" width="9.140625" style="19"/>
    <col min="4097" max="4097" width="0" style="19" hidden="1" customWidth="1"/>
    <col min="4098" max="4098" width="26.140625" style="19" customWidth="1"/>
    <col min="4099" max="4100" width="17.5703125" style="19" customWidth="1"/>
    <col min="4101" max="4101" width="20.7109375" style="19" customWidth="1"/>
    <col min="4102" max="4109" width="17.5703125" style="19" customWidth="1"/>
    <col min="4110" max="4110" width="15.85546875" style="19" customWidth="1"/>
    <col min="4111" max="4111" width="14.5703125" style="19" customWidth="1"/>
    <col min="4112" max="4145" width="17.5703125" style="19" customWidth="1"/>
    <col min="4146" max="4146" width="19.85546875" style="19" customWidth="1"/>
    <col min="4147" max="4175" width="17.5703125" style="19" customWidth="1"/>
    <col min="4176" max="4176" width="20.85546875" style="19" customWidth="1"/>
    <col min="4177" max="4352" width="9.140625" style="19"/>
    <col min="4353" max="4353" width="0" style="19" hidden="1" customWidth="1"/>
    <col min="4354" max="4354" width="26.140625" style="19" customWidth="1"/>
    <col min="4355" max="4356" width="17.5703125" style="19" customWidth="1"/>
    <col min="4357" max="4357" width="20.7109375" style="19" customWidth="1"/>
    <col min="4358" max="4365" width="17.5703125" style="19" customWidth="1"/>
    <col min="4366" max="4366" width="15.85546875" style="19" customWidth="1"/>
    <col min="4367" max="4367" width="14.5703125" style="19" customWidth="1"/>
    <col min="4368" max="4401" width="17.5703125" style="19" customWidth="1"/>
    <col min="4402" max="4402" width="19.85546875" style="19" customWidth="1"/>
    <col min="4403" max="4431" width="17.5703125" style="19" customWidth="1"/>
    <col min="4432" max="4432" width="20.85546875" style="19" customWidth="1"/>
    <col min="4433" max="4608" width="9.140625" style="19"/>
    <col min="4609" max="4609" width="0" style="19" hidden="1" customWidth="1"/>
    <col min="4610" max="4610" width="26.140625" style="19" customWidth="1"/>
    <col min="4611" max="4612" width="17.5703125" style="19" customWidth="1"/>
    <col min="4613" max="4613" width="20.7109375" style="19" customWidth="1"/>
    <col min="4614" max="4621" width="17.5703125" style="19" customWidth="1"/>
    <col min="4622" max="4622" width="15.85546875" style="19" customWidth="1"/>
    <col min="4623" max="4623" width="14.5703125" style="19" customWidth="1"/>
    <col min="4624" max="4657" width="17.5703125" style="19" customWidth="1"/>
    <col min="4658" max="4658" width="19.85546875" style="19" customWidth="1"/>
    <col min="4659" max="4687" width="17.5703125" style="19" customWidth="1"/>
    <col min="4688" max="4688" width="20.85546875" style="19" customWidth="1"/>
    <col min="4689" max="4864" width="9.140625" style="19"/>
    <col min="4865" max="4865" width="0" style="19" hidden="1" customWidth="1"/>
    <col min="4866" max="4866" width="26.140625" style="19" customWidth="1"/>
    <col min="4867" max="4868" width="17.5703125" style="19" customWidth="1"/>
    <col min="4869" max="4869" width="20.7109375" style="19" customWidth="1"/>
    <col min="4870" max="4877" width="17.5703125" style="19" customWidth="1"/>
    <col min="4878" max="4878" width="15.85546875" style="19" customWidth="1"/>
    <col min="4879" max="4879" width="14.5703125" style="19" customWidth="1"/>
    <col min="4880" max="4913" width="17.5703125" style="19" customWidth="1"/>
    <col min="4914" max="4914" width="19.85546875" style="19" customWidth="1"/>
    <col min="4915" max="4943" width="17.5703125" style="19" customWidth="1"/>
    <col min="4944" max="4944" width="20.85546875" style="19" customWidth="1"/>
    <col min="4945" max="5120" width="9.140625" style="19"/>
    <col min="5121" max="5121" width="0" style="19" hidden="1" customWidth="1"/>
    <col min="5122" max="5122" width="26.140625" style="19" customWidth="1"/>
    <col min="5123" max="5124" width="17.5703125" style="19" customWidth="1"/>
    <col min="5125" max="5125" width="20.7109375" style="19" customWidth="1"/>
    <col min="5126" max="5133" width="17.5703125" style="19" customWidth="1"/>
    <col min="5134" max="5134" width="15.85546875" style="19" customWidth="1"/>
    <col min="5135" max="5135" width="14.5703125" style="19" customWidth="1"/>
    <col min="5136" max="5169" width="17.5703125" style="19" customWidth="1"/>
    <col min="5170" max="5170" width="19.85546875" style="19" customWidth="1"/>
    <col min="5171" max="5199" width="17.5703125" style="19" customWidth="1"/>
    <col min="5200" max="5200" width="20.85546875" style="19" customWidth="1"/>
    <col min="5201" max="5376" width="9.140625" style="19"/>
    <col min="5377" max="5377" width="0" style="19" hidden="1" customWidth="1"/>
    <col min="5378" max="5378" width="26.140625" style="19" customWidth="1"/>
    <col min="5379" max="5380" width="17.5703125" style="19" customWidth="1"/>
    <col min="5381" max="5381" width="20.7109375" style="19" customWidth="1"/>
    <col min="5382" max="5389" width="17.5703125" style="19" customWidth="1"/>
    <col min="5390" max="5390" width="15.85546875" style="19" customWidth="1"/>
    <col min="5391" max="5391" width="14.5703125" style="19" customWidth="1"/>
    <col min="5392" max="5425" width="17.5703125" style="19" customWidth="1"/>
    <col min="5426" max="5426" width="19.85546875" style="19" customWidth="1"/>
    <col min="5427" max="5455" width="17.5703125" style="19" customWidth="1"/>
    <col min="5456" max="5456" width="20.85546875" style="19" customWidth="1"/>
    <col min="5457" max="5632" width="9.140625" style="19"/>
    <col min="5633" max="5633" width="0" style="19" hidden="1" customWidth="1"/>
    <col min="5634" max="5634" width="26.140625" style="19" customWidth="1"/>
    <col min="5635" max="5636" width="17.5703125" style="19" customWidth="1"/>
    <col min="5637" max="5637" width="20.7109375" style="19" customWidth="1"/>
    <col min="5638" max="5645" width="17.5703125" style="19" customWidth="1"/>
    <col min="5646" max="5646" width="15.85546875" style="19" customWidth="1"/>
    <col min="5647" max="5647" width="14.5703125" style="19" customWidth="1"/>
    <col min="5648" max="5681" width="17.5703125" style="19" customWidth="1"/>
    <col min="5682" max="5682" width="19.85546875" style="19" customWidth="1"/>
    <col min="5683" max="5711" width="17.5703125" style="19" customWidth="1"/>
    <col min="5712" max="5712" width="20.85546875" style="19" customWidth="1"/>
    <col min="5713" max="5888" width="9.140625" style="19"/>
    <col min="5889" max="5889" width="0" style="19" hidden="1" customWidth="1"/>
    <col min="5890" max="5890" width="26.140625" style="19" customWidth="1"/>
    <col min="5891" max="5892" width="17.5703125" style="19" customWidth="1"/>
    <col min="5893" max="5893" width="20.7109375" style="19" customWidth="1"/>
    <col min="5894" max="5901" width="17.5703125" style="19" customWidth="1"/>
    <col min="5902" max="5902" width="15.85546875" style="19" customWidth="1"/>
    <col min="5903" max="5903" width="14.5703125" style="19" customWidth="1"/>
    <col min="5904" max="5937" width="17.5703125" style="19" customWidth="1"/>
    <col min="5938" max="5938" width="19.85546875" style="19" customWidth="1"/>
    <col min="5939" max="5967" width="17.5703125" style="19" customWidth="1"/>
    <col min="5968" max="5968" width="20.85546875" style="19" customWidth="1"/>
    <col min="5969" max="6144" width="9.140625" style="19"/>
    <col min="6145" max="6145" width="0" style="19" hidden="1" customWidth="1"/>
    <col min="6146" max="6146" width="26.140625" style="19" customWidth="1"/>
    <col min="6147" max="6148" width="17.5703125" style="19" customWidth="1"/>
    <col min="6149" max="6149" width="20.7109375" style="19" customWidth="1"/>
    <col min="6150" max="6157" width="17.5703125" style="19" customWidth="1"/>
    <col min="6158" max="6158" width="15.85546875" style="19" customWidth="1"/>
    <col min="6159" max="6159" width="14.5703125" style="19" customWidth="1"/>
    <col min="6160" max="6193" width="17.5703125" style="19" customWidth="1"/>
    <col min="6194" max="6194" width="19.85546875" style="19" customWidth="1"/>
    <col min="6195" max="6223" width="17.5703125" style="19" customWidth="1"/>
    <col min="6224" max="6224" width="20.85546875" style="19" customWidth="1"/>
    <col min="6225" max="6400" width="9.140625" style="19"/>
    <col min="6401" max="6401" width="0" style="19" hidden="1" customWidth="1"/>
    <col min="6402" max="6402" width="26.140625" style="19" customWidth="1"/>
    <col min="6403" max="6404" width="17.5703125" style="19" customWidth="1"/>
    <col min="6405" max="6405" width="20.7109375" style="19" customWidth="1"/>
    <col min="6406" max="6413" width="17.5703125" style="19" customWidth="1"/>
    <col min="6414" max="6414" width="15.85546875" style="19" customWidth="1"/>
    <col min="6415" max="6415" width="14.5703125" style="19" customWidth="1"/>
    <col min="6416" max="6449" width="17.5703125" style="19" customWidth="1"/>
    <col min="6450" max="6450" width="19.85546875" style="19" customWidth="1"/>
    <col min="6451" max="6479" width="17.5703125" style="19" customWidth="1"/>
    <col min="6480" max="6480" width="20.85546875" style="19" customWidth="1"/>
    <col min="6481" max="6656" width="9.140625" style="19"/>
    <col min="6657" max="6657" width="0" style="19" hidden="1" customWidth="1"/>
    <col min="6658" max="6658" width="26.140625" style="19" customWidth="1"/>
    <col min="6659" max="6660" width="17.5703125" style="19" customWidth="1"/>
    <col min="6661" max="6661" width="20.7109375" style="19" customWidth="1"/>
    <col min="6662" max="6669" width="17.5703125" style="19" customWidth="1"/>
    <col min="6670" max="6670" width="15.85546875" style="19" customWidth="1"/>
    <col min="6671" max="6671" width="14.5703125" style="19" customWidth="1"/>
    <col min="6672" max="6705" width="17.5703125" style="19" customWidth="1"/>
    <col min="6706" max="6706" width="19.85546875" style="19" customWidth="1"/>
    <col min="6707" max="6735" width="17.5703125" style="19" customWidth="1"/>
    <col min="6736" max="6736" width="20.85546875" style="19" customWidth="1"/>
    <col min="6737" max="6912" width="9.140625" style="19"/>
    <col min="6913" max="6913" width="0" style="19" hidden="1" customWidth="1"/>
    <col min="6914" max="6914" width="26.140625" style="19" customWidth="1"/>
    <col min="6915" max="6916" width="17.5703125" style="19" customWidth="1"/>
    <col min="6917" max="6917" width="20.7109375" style="19" customWidth="1"/>
    <col min="6918" max="6925" width="17.5703125" style="19" customWidth="1"/>
    <col min="6926" max="6926" width="15.85546875" style="19" customWidth="1"/>
    <col min="6927" max="6927" width="14.5703125" style="19" customWidth="1"/>
    <col min="6928" max="6961" width="17.5703125" style="19" customWidth="1"/>
    <col min="6962" max="6962" width="19.85546875" style="19" customWidth="1"/>
    <col min="6963" max="6991" width="17.5703125" style="19" customWidth="1"/>
    <col min="6992" max="6992" width="20.85546875" style="19" customWidth="1"/>
    <col min="6993" max="7168" width="9.140625" style="19"/>
    <col min="7169" max="7169" width="0" style="19" hidden="1" customWidth="1"/>
    <col min="7170" max="7170" width="26.140625" style="19" customWidth="1"/>
    <col min="7171" max="7172" width="17.5703125" style="19" customWidth="1"/>
    <col min="7173" max="7173" width="20.7109375" style="19" customWidth="1"/>
    <col min="7174" max="7181" width="17.5703125" style="19" customWidth="1"/>
    <col min="7182" max="7182" width="15.85546875" style="19" customWidth="1"/>
    <col min="7183" max="7183" width="14.5703125" style="19" customWidth="1"/>
    <col min="7184" max="7217" width="17.5703125" style="19" customWidth="1"/>
    <col min="7218" max="7218" width="19.85546875" style="19" customWidth="1"/>
    <col min="7219" max="7247" width="17.5703125" style="19" customWidth="1"/>
    <col min="7248" max="7248" width="20.85546875" style="19" customWidth="1"/>
    <col min="7249" max="7424" width="9.140625" style="19"/>
    <col min="7425" max="7425" width="0" style="19" hidden="1" customWidth="1"/>
    <col min="7426" max="7426" width="26.140625" style="19" customWidth="1"/>
    <col min="7427" max="7428" width="17.5703125" style="19" customWidth="1"/>
    <col min="7429" max="7429" width="20.7109375" style="19" customWidth="1"/>
    <col min="7430" max="7437" width="17.5703125" style="19" customWidth="1"/>
    <col min="7438" max="7438" width="15.85546875" style="19" customWidth="1"/>
    <col min="7439" max="7439" width="14.5703125" style="19" customWidth="1"/>
    <col min="7440" max="7473" width="17.5703125" style="19" customWidth="1"/>
    <col min="7474" max="7474" width="19.85546875" style="19" customWidth="1"/>
    <col min="7475" max="7503" width="17.5703125" style="19" customWidth="1"/>
    <col min="7504" max="7504" width="20.85546875" style="19" customWidth="1"/>
    <col min="7505" max="7680" width="9.140625" style="19"/>
    <col min="7681" max="7681" width="0" style="19" hidden="1" customWidth="1"/>
    <col min="7682" max="7682" width="26.140625" style="19" customWidth="1"/>
    <col min="7683" max="7684" width="17.5703125" style="19" customWidth="1"/>
    <col min="7685" max="7685" width="20.7109375" style="19" customWidth="1"/>
    <col min="7686" max="7693" width="17.5703125" style="19" customWidth="1"/>
    <col min="7694" max="7694" width="15.85546875" style="19" customWidth="1"/>
    <col min="7695" max="7695" width="14.5703125" style="19" customWidth="1"/>
    <col min="7696" max="7729" width="17.5703125" style="19" customWidth="1"/>
    <col min="7730" max="7730" width="19.85546875" style="19" customWidth="1"/>
    <col min="7731" max="7759" width="17.5703125" style="19" customWidth="1"/>
    <col min="7760" max="7760" width="20.85546875" style="19" customWidth="1"/>
    <col min="7761" max="7936" width="9.140625" style="19"/>
    <col min="7937" max="7937" width="0" style="19" hidden="1" customWidth="1"/>
    <col min="7938" max="7938" width="26.140625" style="19" customWidth="1"/>
    <col min="7939" max="7940" width="17.5703125" style="19" customWidth="1"/>
    <col min="7941" max="7941" width="20.7109375" style="19" customWidth="1"/>
    <col min="7942" max="7949" width="17.5703125" style="19" customWidth="1"/>
    <col min="7950" max="7950" width="15.85546875" style="19" customWidth="1"/>
    <col min="7951" max="7951" width="14.5703125" style="19" customWidth="1"/>
    <col min="7952" max="7985" width="17.5703125" style="19" customWidth="1"/>
    <col min="7986" max="7986" width="19.85546875" style="19" customWidth="1"/>
    <col min="7987" max="8015" width="17.5703125" style="19" customWidth="1"/>
    <col min="8016" max="8016" width="20.85546875" style="19" customWidth="1"/>
    <col min="8017" max="8192" width="9.140625" style="19"/>
    <col min="8193" max="8193" width="0" style="19" hidden="1" customWidth="1"/>
    <col min="8194" max="8194" width="26.140625" style="19" customWidth="1"/>
    <col min="8195" max="8196" width="17.5703125" style="19" customWidth="1"/>
    <col min="8197" max="8197" width="20.7109375" style="19" customWidth="1"/>
    <col min="8198" max="8205" width="17.5703125" style="19" customWidth="1"/>
    <col min="8206" max="8206" width="15.85546875" style="19" customWidth="1"/>
    <col min="8207" max="8207" width="14.5703125" style="19" customWidth="1"/>
    <col min="8208" max="8241" width="17.5703125" style="19" customWidth="1"/>
    <col min="8242" max="8242" width="19.85546875" style="19" customWidth="1"/>
    <col min="8243" max="8271" width="17.5703125" style="19" customWidth="1"/>
    <col min="8272" max="8272" width="20.85546875" style="19" customWidth="1"/>
    <col min="8273" max="8448" width="9.140625" style="19"/>
    <col min="8449" max="8449" width="0" style="19" hidden="1" customWidth="1"/>
    <col min="8450" max="8450" width="26.140625" style="19" customWidth="1"/>
    <col min="8451" max="8452" width="17.5703125" style="19" customWidth="1"/>
    <col min="8453" max="8453" width="20.7109375" style="19" customWidth="1"/>
    <col min="8454" max="8461" width="17.5703125" style="19" customWidth="1"/>
    <col min="8462" max="8462" width="15.85546875" style="19" customWidth="1"/>
    <col min="8463" max="8463" width="14.5703125" style="19" customWidth="1"/>
    <col min="8464" max="8497" width="17.5703125" style="19" customWidth="1"/>
    <col min="8498" max="8498" width="19.85546875" style="19" customWidth="1"/>
    <col min="8499" max="8527" width="17.5703125" style="19" customWidth="1"/>
    <col min="8528" max="8528" width="20.85546875" style="19" customWidth="1"/>
    <col min="8529" max="8704" width="9.140625" style="19"/>
    <col min="8705" max="8705" width="0" style="19" hidden="1" customWidth="1"/>
    <col min="8706" max="8706" width="26.140625" style="19" customWidth="1"/>
    <col min="8707" max="8708" width="17.5703125" style="19" customWidth="1"/>
    <col min="8709" max="8709" width="20.7109375" style="19" customWidth="1"/>
    <col min="8710" max="8717" width="17.5703125" style="19" customWidth="1"/>
    <col min="8718" max="8718" width="15.85546875" style="19" customWidth="1"/>
    <col min="8719" max="8719" width="14.5703125" style="19" customWidth="1"/>
    <col min="8720" max="8753" width="17.5703125" style="19" customWidth="1"/>
    <col min="8754" max="8754" width="19.85546875" style="19" customWidth="1"/>
    <col min="8755" max="8783" width="17.5703125" style="19" customWidth="1"/>
    <col min="8784" max="8784" width="20.85546875" style="19" customWidth="1"/>
    <col min="8785" max="8960" width="9.140625" style="19"/>
    <col min="8961" max="8961" width="0" style="19" hidden="1" customWidth="1"/>
    <col min="8962" max="8962" width="26.140625" style="19" customWidth="1"/>
    <col min="8963" max="8964" width="17.5703125" style="19" customWidth="1"/>
    <col min="8965" max="8965" width="20.7109375" style="19" customWidth="1"/>
    <col min="8966" max="8973" width="17.5703125" style="19" customWidth="1"/>
    <col min="8974" max="8974" width="15.85546875" style="19" customWidth="1"/>
    <col min="8975" max="8975" width="14.5703125" style="19" customWidth="1"/>
    <col min="8976" max="9009" width="17.5703125" style="19" customWidth="1"/>
    <col min="9010" max="9010" width="19.85546875" style="19" customWidth="1"/>
    <col min="9011" max="9039" width="17.5703125" style="19" customWidth="1"/>
    <col min="9040" max="9040" width="20.85546875" style="19" customWidth="1"/>
    <col min="9041" max="9216" width="9.140625" style="19"/>
    <col min="9217" max="9217" width="0" style="19" hidden="1" customWidth="1"/>
    <col min="9218" max="9218" width="26.140625" style="19" customWidth="1"/>
    <col min="9219" max="9220" width="17.5703125" style="19" customWidth="1"/>
    <col min="9221" max="9221" width="20.7109375" style="19" customWidth="1"/>
    <col min="9222" max="9229" width="17.5703125" style="19" customWidth="1"/>
    <col min="9230" max="9230" width="15.85546875" style="19" customWidth="1"/>
    <col min="9231" max="9231" width="14.5703125" style="19" customWidth="1"/>
    <col min="9232" max="9265" width="17.5703125" style="19" customWidth="1"/>
    <col min="9266" max="9266" width="19.85546875" style="19" customWidth="1"/>
    <col min="9267" max="9295" width="17.5703125" style="19" customWidth="1"/>
    <col min="9296" max="9296" width="20.85546875" style="19" customWidth="1"/>
    <col min="9297" max="9472" width="9.140625" style="19"/>
    <col min="9473" max="9473" width="0" style="19" hidden="1" customWidth="1"/>
    <col min="9474" max="9474" width="26.140625" style="19" customWidth="1"/>
    <col min="9475" max="9476" width="17.5703125" style="19" customWidth="1"/>
    <col min="9477" max="9477" width="20.7109375" style="19" customWidth="1"/>
    <col min="9478" max="9485" width="17.5703125" style="19" customWidth="1"/>
    <col min="9486" max="9486" width="15.85546875" style="19" customWidth="1"/>
    <col min="9487" max="9487" width="14.5703125" style="19" customWidth="1"/>
    <col min="9488" max="9521" width="17.5703125" style="19" customWidth="1"/>
    <col min="9522" max="9522" width="19.85546875" style="19" customWidth="1"/>
    <col min="9523" max="9551" width="17.5703125" style="19" customWidth="1"/>
    <col min="9552" max="9552" width="20.85546875" style="19" customWidth="1"/>
    <col min="9553" max="9728" width="9.140625" style="19"/>
    <col min="9729" max="9729" width="0" style="19" hidden="1" customWidth="1"/>
    <col min="9730" max="9730" width="26.140625" style="19" customWidth="1"/>
    <col min="9731" max="9732" width="17.5703125" style="19" customWidth="1"/>
    <col min="9733" max="9733" width="20.7109375" style="19" customWidth="1"/>
    <col min="9734" max="9741" width="17.5703125" style="19" customWidth="1"/>
    <col min="9742" max="9742" width="15.85546875" style="19" customWidth="1"/>
    <col min="9743" max="9743" width="14.5703125" style="19" customWidth="1"/>
    <col min="9744" max="9777" width="17.5703125" style="19" customWidth="1"/>
    <col min="9778" max="9778" width="19.85546875" style="19" customWidth="1"/>
    <col min="9779" max="9807" width="17.5703125" style="19" customWidth="1"/>
    <col min="9808" max="9808" width="20.85546875" style="19" customWidth="1"/>
    <col min="9809" max="9984" width="9.140625" style="19"/>
    <col min="9985" max="9985" width="0" style="19" hidden="1" customWidth="1"/>
    <col min="9986" max="9986" width="26.140625" style="19" customWidth="1"/>
    <col min="9987" max="9988" width="17.5703125" style="19" customWidth="1"/>
    <col min="9989" max="9989" width="20.7109375" style="19" customWidth="1"/>
    <col min="9990" max="9997" width="17.5703125" style="19" customWidth="1"/>
    <col min="9998" max="9998" width="15.85546875" style="19" customWidth="1"/>
    <col min="9999" max="9999" width="14.5703125" style="19" customWidth="1"/>
    <col min="10000" max="10033" width="17.5703125" style="19" customWidth="1"/>
    <col min="10034" max="10034" width="19.85546875" style="19" customWidth="1"/>
    <col min="10035" max="10063" width="17.5703125" style="19" customWidth="1"/>
    <col min="10064" max="10064" width="20.85546875" style="19" customWidth="1"/>
    <col min="10065" max="10240" width="9.140625" style="19"/>
    <col min="10241" max="10241" width="0" style="19" hidden="1" customWidth="1"/>
    <col min="10242" max="10242" width="26.140625" style="19" customWidth="1"/>
    <col min="10243" max="10244" width="17.5703125" style="19" customWidth="1"/>
    <col min="10245" max="10245" width="20.7109375" style="19" customWidth="1"/>
    <col min="10246" max="10253" width="17.5703125" style="19" customWidth="1"/>
    <col min="10254" max="10254" width="15.85546875" style="19" customWidth="1"/>
    <col min="10255" max="10255" width="14.5703125" style="19" customWidth="1"/>
    <col min="10256" max="10289" width="17.5703125" style="19" customWidth="1"/>
    <col min="10290" max="10290" width="19.85546875" style="19" customWidth="1"/>
    <col min="10291" max="10319" width="17.5703125" style="19" customWidth="1"/>
    <col min="10320" max="10320" width="20.85546875" style="19" customWidth="1"/>
    <col min="10321" max="10496" width="9.140625" style="19"/>
    <col min="10497" max="10497" width="0" style="19" hidden="1" customWidth="1"/>
    <col min="10498" max="10498" width="26.140625" style="19" customWidth="1"/>
    <col min="10499" max="10500" width="17.5703125" style="19" customWidth="1"/>
    <col min="10501" max="10501" width="20.7109375" style="19" customWidth="1"/>
    <col min="10502" max="10509" width="17.5703125" style="19" customWidth="1"/>
    <col min="10510" max="10510" width="15.85546875" style="19" customWidth="1"/>
    <col min="10511" max="10511" width="14.5703125" style="19" customWidth="1"/>
    <col min="10512" max="10545" width="17.5703125" style="19" customWidth="1"/>
    <col min="10546" max="10546" width="19.85546875" style="19" customWidth="1"/>
    <col min="10547" max="10575" width="17.5703125" style="19" customWidth="1"/>
    <col min="10576" max="10576" width="20.85546875" style="19" customWidth="1"/>
    <col min="10577" max="10752" width="9.140625" style="19"/>
    <col min="10753" max="10753" width="0" style="19" hidden="1" customWidth="1"/>
    <col min="10754" max="10754" width="26.140625" style="19" customWidth="1"/>
    <col min="10755" max="10756" width="17.5703125" style="19" customWidth="1"/>
    <col min="10757" max="10757" width="20.7109375" style="19" customWidth="1"/>
    <col min="10758" max="10765" width="17.5703125" style="19" customWidth="1"/>
    <col min="10766" max="10766" width="15.85546875" style="19" customWidth="1"/>
    <col min="10767" max="10767" width="14.5703125" style="19" customWidth="1"/>
    <col min="10768" max="10801" width="17.5703125" style="19" customWidth="1"/>
    <col min="10802" max="10802" width="19.85546875" style="19" customWidth="1"/>
    <col min="10803" max="10831" width="17.5703125" style="19" customWidth="1"/>
    <col min="10832" max="10832" width="20.85546875" style="19" customWidth="1"/>
    <col min="10833" max="11008" width="9.140625" style="19"/>
    <col min="11009" max="11009" width="0" style="19" hidden="1" customWidth="1"/>
    <col min="11010" max="11010" width="26.140625" style="19" customWidth="1"/>
    <col min="11011" max="11012" width="17.5703125" style="19" customWidth="1"/>
    <col min="11013" max="11013" width="20.7109375" style="19" customWidth="1"/>
    <col min="11014" max="11021" width="17.5703125" style="19" customWidth="1"/>
    <col min="11022" max="11022" width="15.85546875" style="19" customWidth="1"/>
    <col min="11023" max="11023" width="14.5703125" style="19" customWidth="1"/>
    <col min="11024" max="11057" width="17.5703125" style="19" customWidth="1"/>
    <col min="11058" max="11058" width="19.85546875" style="19" customWidth="1"/>
    <col min="11059" max="11087" width="17.5703125" style="19" customWidth="1"/>
    <col min="11088" max="11088" width="20.85546875" style="19" customWidth="1"/>
    <col min="11089" max="11264" width="9.140625" style="19"/>
    <col min="11265" max="11265" width="0" style="19" hidden="1" customWidth="1"/>
    <col min="11266" max="11266" width="26.140625" style="19" customWidth="1"/>
    <col min="11267" max="11268" width="17.5703125" style="19" customWidth="1"/>
    <col min="11269" max="11269" width="20.7109375" style="19" customWidth="1"/>
    <col min="11270" max="11277" width="17.5703125" style="19" customWidth="1"/>
    <col min="11278" max="11278" width="15.85546875" style="19" customWidth="1"/>
    <col min="11279" max="11279" width="14.5703125" style="19" customWidth="1"/>
    <col min="11280" max="11313" width="17.5703125" style="19" customWidth="1"/>
    <col min="11314" max="11314" width="19.85546875" style="19" customWidth="1"/>
    <col min="11315" max="11343" width="17.5703125" style="19" customWidth="1"/>
    <col min="11344" max="11344" width="20.85546875" style="19" customWidth="1"/>
    <col min="11345" max="11520" width="9.140625" style="19"/>
    <col min="11521" max="11521" width="0" style="19" hidden="1" customWidth="1"/>
    <col min="11522" max="11522" width="26.140625" style="19" customWidth="1"/>
    <col min="11523" max="11524" width="17.5703125" style="19" customWidth="1"/>
    <col min="11525" max="11525" width="20.7109375" style="19" customWidth="1"/>
    <col min="11526" max="11533" width="17.5703125" style="19" customWidth="1"/>
    <col min="11534" max="11534" width="15.85546875" style="19" customWidth="1"/>
    <col min="11535" max="11535" width="14.5703125" style="19" customWidth="1"/>
    <col min="11536" max="11569" width="17.5703125" style="19" customWidth="1"/>
    <col min="11570" max="11570" width="19.85546875" style="19" customWidth="1"/>
    <col min="11571" max="11599" width="17.5703125" style="19" customWidth="1"/>
    <col min="11600" max="11600" width="20.85546875" style="19" customWidth="1"/>
    <col min="11601" max="11776" width="9.140625" style="19"/>
    <col min="11777" max="11777" width="0" style="19" hidden="1" customWidth="1"/>
    <col min="11778" max="11778" width="26.140625" style="19" customWidth="1"/>
    <col min="11779" max="11780" width="17.5703125" style="19" customWidth="1"/>
    <col min="11781" max="11781" width="20.7109375" style="19" customWidth="1"/>
    <col min="11782" max="11789" width="17.5703125" style="19" customWidth="1"/>
    <col min="11790" max="11790" width="15.85546875" style="19" customWidth="1"/>
    <col min="11791" max="11791" width="14.5703125" style="19" customWidth="1"/>
    <col min="11792" max="11825" width="17.5703125" style="19" customWidth="1"/>
    <col min="11826" max="11826" width="19.85546875" style="19" customWidth="1"/>
    <col min="11827" max="11855" width="17.5703125" style="19" customWidth="1"/>
    <col min="11856" max="11856" width="20.85546875" style="19" customWidth="1"/>
    <col min="11857" max="12032" width="9.140625" style="19"/>
    <col min="12033" max="12033" width="0" style="19" hidden="1" customWidth="1"/>
    <col min="12034" max="12034" width="26.140625" style="19" customWidth="1"/>
    <col min="12035" max="12036" width="17.5703125" style="19" customWidth="1"/>
    <col min="12037" max="12037" width="20.7109375" style="19" customWidth="1"/>
    <col min="12038" max="12045" width="17.5703125" style="19" customWidth="1"/>
    <col min="12046" max="12046" width="15.85546875" style="19" customWidth="1"/>
    <col min="12047" max="12047" width="14.5703125" style="19" customWidth="1"/>
    <col min="12048" max="12081" width="17.5703125" style="19" customWidth="1"/>
    <col min="12082" max="12082" width="19.85546875" style="19" customWidth="1"/>
    <col min="12083" max="12111" width="17.5703125" style="19" customWidth="1"/>
    <col min="12112" max="12112" width="20.85546875" style="19" customWidth="1"/>
    <col min="12113" max="12288" width="9.140625" style="19"/>
    <col min="12289" max="12289" width="0" style="19" hidden="1" customWidth="1"/>
    <col min="12290" max="12290" width="26.140625" style="19" customWidth="1"/>
    <col min="12291" max="12292" width="17.5703125" style="19" customWidth="1"/>
    <col min="12293" max="12293" width="20.7109375" style="19" customWidth="1"/>
    <col min="12294" max="12301" width="17.5703125" style="19" customWidth="1"/>
    <col min="12302" max="12302" width="15.85546875" style="19" customWidth="1"/>
    <col min="12303" max="12303" width="14.5703125" style="19" customWidth="1"/>
    <col min="12304" max="12337" width="17.5703125" style="19" customWidth="1"/>
    <col min="12338" max="12338" width="19.85546875" style="19" customWidth="1"/>
    <col min="12339" max="12367" width="17.5703125" style="19" customWidth="1"/>
    <col min="12368" max="12368" width="20.85546875" style="19" customWidth="1"/>
    <col min="12369" max="12544" width="9.140625" style="19"/>
    <col min="12545" max="12545" width="0" style="19" hidden="1" customWidth="1"/>
    <col min="12546" max="12546" width="26.140625" style="19" customWidth="1"/>
    <col min="12547" max="12548" width="17.5703125" style="19" customWidth="1"/>
    <col min="12549" max="12549" width="20.7109375" style="19" customWidth="1"/>
    <col min="12550" max="12557" width="17.5703125" style="19" customWidth="1"/>
    <col min="12558" max="12558" width="15.85546875" style="19" customWidth="1"/>
    <col min="12559" max="12559" width="14.5703125" style="19" customWidth="1"/>
    <col min="12560" max="12593" width="17.5703125" style="19" customWidth="1"/>
    <col min="12594" max="12594" width="19.85546875" style="19" customWidth="1"/>
    <col min="12595" max="12623" width="17.5703125" style="19" customWidth="1"/>
    <col min="12624" max="12624" width="20.85546875" style="19" customWidth="1"/>
    <col min="12625" max="12800" width="9.140625" style="19"/>
    <col min="12801" max="12801" width="0" style="19" hidden="1" customWidth="1"/>
    <col min="12802" max="12802" width="26.140625" style="19" customWidth="1"/>
    <col min="12803" max="12804" width="17.5703125" style="19" customWidth="1"/>
    <col min="12805" max="12805" width="20.7109375" style="19" customWidth="1"/>
    <col min="12806" max="12813" width="17.5703125" style="19" customWidth="1"/>
    <col min="12814" max="12814" width="15.85546875" style="19" customWidth="1"/>
    <col min="12815" max="12815" width="14.5703125" style="19" customWidth="1"/>
    <col min="12816" max="12849" width="17.5703125" style="19" customWidth="1"/>
    <col min="12850" max="12850" width="19.85546875" style="19" customWidth="1"/>
    <col min="12851" max="12879" width="17.5703125" style="19" customWidth="1"/>
    <col min="12880" max="12880" width="20.85546875" style="19" customWidth="1"/>
    <col min="12881" max="13056" width="9.140625" style="19"/>
    <col min="13057" max="13057" width="0" style="19" hidden="1" customWidth="1"/>
    <col min="13058" max="13058" width="26.140625" style="19" customWidth="1"/>
    <col min="13059" max="13060" width="17.5703125" style="19" customWidth="1"/>
    <col min="13061" max="13061" width="20.7109375" style="19" customWidth="1"/>
    <col min="13062" max="13069" width="17.5703125" style="19" customWidth="1"/>
    <col min="13070" max="13070" width="15.85546875" style="19" customWidth="1"/>
    <col min="13071" max="13071" width="14.5703125" style="19" customWidth="1"/>
    <col min="13072" max="13105" width="17.5703125" style="19" customWidth="1"/>
    <col min="13106" max="13106" width="19.85546875" style="19" customWidth="1"/>
    <col min="13107" max="13135" width="17.5703125" style="19" customWidth="1"/>
    <col min="13136" max="13136" width="20.85546875" style="19" customWidth="1"/>
    <col min="13137" max="13312" width="9.140625" style="19"/>
    <col min="13313" max="13313" width="0" style="19" hidden="1" customWidth="1"/>
    <col min="13314" max="13314" width="26.140625" style="19" customWidth="1"/>
    <col min="13315" max="13316" width="17.5703125" style="19" customWidth="1"/>
    <col min="13317" max="13317" width="20.7109375" style="19" customWidth="1"/>
    <col min="13318" max="13325" width="17.5703125" style="19" customWidth="1"/>
    <col min="13326" max="13326" width="15.85546875" style="19" customWidth="1"/>
    <col min="13327" max="13327" width="14.5703125" style="19" customWidth="1"/>
    <col min="13328" max="13361" width="17.5703125" style="19" customWidth="1"/>
    <col min="13362" max="13362" width="19.85546875" style="19" customWidth="1"/>
    <col min="13363" max="13391" width="17.5703125" style="19" customWidth="1"/>
    <col min="13392" max="13392" width="20.85546875" style="19" customWidth="1"/>
    <col min="13393" max="13568" width="9.140625" style="19"/>
    <col min="13569" max="13569" width="0" style="19" hidden="1" customWidth="1"/>
    <col min="13570" max="13570" width="26.140625" style="19" customWidth="1"/>
    <col min="13571" max="13572" width="17.5703125" style="19" customWidth="1"/>
    <col min="13573" max="13573" width="20.7109375" style="19" customWidth="1"/>
    <col min="13574" max="13581" width="17.5703125" style="19" customWidth="1"/>
    <col min="13582" max="13582" width="15.85546875" style="19" customWidth="1"/>
    <col min="13583" max="13583" width="14.5703125" style="19" customWidth="1"/>
    <col min="13584" max="13617" width="17.5703125" style="19" customWidth="1"/>
    <col min="13618" max="13618" width="19.85546875" style="19" customWidth="1"/>
    <col min="13619" max="13647" width="17.5703125" style="19" customWidth="1"/>
    <col min="13648" max="13648" width="20.85546875" style="19" customWidth="1"/>
    <col min="13649" max="13824" width="9.140625" style="19"/>
    <col min="13825" max="13825" width="0" style="19" hidden="1" customWidth="1"/>
    <col min="13826" max="13826" width="26.140625" style="19" customWidth="1"/>
    <col min="13827" max="13828" width="17.5703125" style="19" customWidth="1"/>
    <col min="13829" max="13829" width="20.7109375" style="19" customWidth="1"/>
    <col min="13830" max="13837" width="17.5703125" style="19" customWidth="1"/>
    <col min="13838" max="13838" width="15.85546875" style="19" customWidth="1"/>
    <col min="13839" max="13839" width="14.5703125" style="19" customWidth="1"/>
    <col min="13840" max="13873" width="17.5703125" style="19" customWidth="1"/>
    <col min="13874" max="13874" width="19.85546875" style="19" customWidth="1"/>
    <col min="13875" max="13903" width="17.5703125" style="19" customWidth="1"/>
    <col min="13904" max="13904" width="20.85546875" style="19" customWidth="1"/>
    <col min="13905" max="14080" width="9.140625" style="19"/>
    <col min="14081" max="14081" width="0" style="19" hidden="1" customWidth="1"/>
    <col min="14082" max="14082" width="26.140625" style="19" customWidth="1"/>
    <col min="14083" max="14084" width="17.5703125" style="19" customWidth="1"/>
    <col min="14085" max="14085" width="20.7109375" style="19" customWidth="1"/>
    <col min="14086" max="14093" width="17.5703125" style="19" customWidth="1"/>
    <col min="14094" max="14094" width="15.85546875" style="19" customWidth="1"/>
    <col min="14095" max="14095" width="14.5703125" style="19" customWidth="1"/>
    <col min="14096" max="14129" width="17.5703125" style="19" customWidth="1"/>
    <col min="14130" max="14130" width="19.85546875" style="19" customWidth="1"/>
    <col min="14131" max="14159" width="17.5703125" style="19" customWidth="1"/>
    <col min="14160" max="14160" width="20.85546875" style="19" customWidth="1"/>
    <col min="14161" max="14336" width="9.140625" style="19"/>
    <col min="14337" max="14337" width="0" style="19" hidden="1" customWidth="1"/>
    <col min="14338" max="14338" width="26.140625" style="19" customWidth="1"/>
    <col min="14339" max="14340" width="17.5703125" style="19" customWidth="1"/>
    <col min="14341" max="14341" width="20.7109375" style="19" customWidth="1"/>
    <col min="14342" max="14349" width="17.5703125" style="19" customWidth="1"/>
    <col min="14350" max="14350" width="15.85546875" style="19" customWidth="1"/>
    <col min="14351" max="14351" width="14.5703125" style="19" customWidth="1"/>
    <col min="14352" max="14385" width="17.5703125" style="19" customWidth="1"/>
    <col min="14386" max="14386" width="19.85546875" style="19" customWidth="1"/>
    <col min="14387" max="14415" width="17.5703125" style="19" customWidth="1"/>
    <col min="14416" max="14416" width="20.85546875" style="19" customWidth="1"/>
    <col min="14417" max="14592" width="9.140625" style="19"/>
    <col min="14593" max="14593" width="0" style="19" hidden="1" customWidth="1"/>
    <col min="14594" max="14594" width="26.140625" style="19" customWidth="1"/>
    <col min="14595" max="14596" width="17.5703125" style="19" customWidth="1"/>
    <col min="14597" max="14597" width="20.7109375" style="19" customWidth="1"/>
    <col min="14598" max="14605" width="17.5703125" style="19" customWidth="1"/>
    <col min="14606" max="14606" width="15.85546875" style="19" customWidth="1"/>
    <col min="14607" max="14607" width="14.5703125" style="19" customWidth="1"/>
    <col min="14608" max="14641" width="17.5703125" style="19" customWidth="1"/>
    <col min="14642" max="14642" width="19.85546875" style="19" customWidth="1"/>
    <col min="14643" max="14671" width="17.5703125" style="19" customWidth="1"/>
    <col min="14672" max="14672" width="20.85546875" style="19" customWidth="1"/>
    <col min="14673" max="14848" width="9.140625" style="19"/>
    <col min="14849" max="14849" width="0" style="19" hidden="1" customWidth="1"/>
    <col min="14850" max="14850" width="26.140625" style="19" customWidth="1"/>
    <col min="14851" max="14852" width="17.5703125" style="19" customWidth="1"/>
    <col min="14853" max="14853" width="20.7109375" style="19" customWidth="1"/>
    <col min="14854" max="14861" width="17.5703125" style="19" customWidth="1"/>
    <col min="14862" max="14862" width="15.85546875" style="19" customWidth="1"/>
    <col min="14863" max="14863" width="14.5703125" style="19" customWidth="1"/>
    <col min="14864" max="14897" width="17.5703125" style="19" customWidth="1"/>
    <col min="14898" max="14898" width="19.85546875" style="19" customWidth="1"/>
    <col min="14899" max="14927" width="17.5703125" style="19" customWidth="1"/>
    <col min="14928" max="14928" width="20.85546875" style="19" customWidth="1"/>
    <col min="14929" max="15104" width="9.140625" style="19"/>
    <col min="15105" max="15105" width="0" style="19" hidden="1" customWidth="1"/>
    <col min="15106" max="15106" width="26.140625" style="19" customWidth="1"/>
    <col min="15107" max="15108" width="17.5703125" style="19" customWidth="1"/>
    <col min="15109" max="15109" width="20.7109375" style="19" customWidth="1"/>
    <col min="15110" max="15117" width="17.5703125" style="19" customWidth="1"/>
    <col min="15118" max="15118" width="15.85546875" style="19" customWidth="1"/>
    <col min="15119" max="15119" width="14.5703125" style="19" customWidth="1"/>
    <col min="15120" max="15153" width="17.5703125" style="19" customWidth="1"/>
    <col min="15154" max="15154" width="19.85546875" style="19" customWidth="1"/>
    <col min="15155" max="15183" width="17.5703125" style="19" customWidth="1"/>
    <col min="15184" max="15184" width="20.85546875" style="19" customWidth="1"/>
    <col min="15185" max="15360" width="9.140625" style="19"/>
    <col min="15361" max="15361" width="0" style="19" hidden="1" customWidth="1"/>
    <col min="15362" max="15362" width="26.140625" style="19" customWidth="1"/>
    <col min="15363" max="15364" width="17.5703125" style="19" customWidth="1"/>
    <col min="15365" max="15365" width="20.7109375" style="19" customWidth="1"/>
    <col min="15366" max="15373" width="17.5703125" style="19" customWidth="1"/>
    <col min="15374" max="15374" width="15.85546875" style="19" customWidth="1"/>
    <col min="15375" max="15375" width="14.5703125" style="19" customWidth="1"/>
    <col min="15376" max="15409" width="17.5703125" style="19" customWidth="1"/>
    <col min="15410" max="15410" width="19.85546875" style="19" customWidth="1"/>
    <col min="15411" max="15439" width="17.5703125" style="19" customWidth="1"/>
    <col min="15440" max="15440" width="20.85546875" style="19" customWidth="1"/>
    <col min="15441" max="15616" width="9.140625" style="19"/>
    <col min="15617" max="15617" width="0" style="19" hidden="1" customWidth="1"/>
    <col min="15618" max="15618" width="26.140625" style="19" customWidth="1"/>
    <col min="15619" max="15620" width="17.5703125" style="19" customWidth="1"/>
    <col min="15621" max="15621" width="20.7109375" style="19" customWidth="1"/>
    <col min="15622" max="15629" width="17.5703125" style="19" customWidth="1"/>
    <col min="15630" max="15630" width="15.85546875" style="19" customWidth="1"/>
    <col min="15631" max="15631" width="14.5703125" style="19" customWidth="1"/>
    <col min="15632" max="15665" width="17.5703125" style="19" customWidth="1"/>
    <col min="15666" max="15666" width="19.85546875" style="19" customWidth="1"/>
    <col min="15667" max="15695" width="17.5703125" style="19" customWidth="1"/>
    <col min="15696" max="15696" width="20.85546875" style="19" customWidth="1"/>
    <col min="15697" max="15872" width="9.140625" style="19"/>
    <col min="15873" max="15873" width="0" style="19" hidden="1" customWidth="1"/>
    <col min="15874" max="15874" width="26.140625" style="19" customWidth="1"/>
    <col min="15875" max="15876" width="17.5703125" style="19" customWidth="1"/>
    <col min="15877" max="15877" width="20.7109375" style="19" customWidth="1"/>
    <col min="15878" max="15885" width="17.5703125" style="19" customWidth="1"/>
    <col min="15886" max="15886" width="15.85546875" style="19" customWidth="1"/>
    <col min="15887" max="15887" width="14.5703125" style="19" customWidth="1"/>
    <col min="15888" max="15921" width="17.5703125" style="19" customWidth="1"/>
    <col min="15922" max="15922" width="19.85546875" style="19" customWidth="1"/>
    <col min="15923" max="15951" width="17.5703125" style="19" customWidth="1"/>
    <col min="15952" max="15952" width="20.85546875" style="19" customWidth="1"/>
    <col min="15953" max="16128" width="9.140625" style="19"/>
    <col min="16129" max="16129" width="0" style="19" hidden="1" customWidth="1"/>
    <col min="16130" max="16130" width="26.140625" style="19" customWidth="1"/>
    <col min="16131" max="16132" width="17.5703125" style="19" customWidth="1"/>
    <col min="16133" max="16133" width="20.7109375" style="19" customWidth="1"/>
    <col min="16134" max="16141" width="17.5703125" style="19" customWidth="1"/>
    <col min="16142" max="16142" width="15.85546875" style="19" customWidth="1"/>
    <col min="16143" max="16143" width="14.5703125" style="19" customWidth="1"/>
    <col min="16144" max="16177" width="17.5703125" style="19" customWidth="1"/>
    <col min="16178" max="16178" width="19.85546875" style="19" customWidth="1"/>
    <col min="16179" max="16207" width="17.5703125" style="19" customWidth="1"/>
    <col min="16208" max="16208" width="20.85546875" style="19" customWidth="1"/>
    <col min="16209" max="16384" width="9.140625" style="19"/>
  </cols>
  <sheetData>
    <row r="1" spans="1:79" ht="66" customHeight="1" x14ac:dyDescent="0.25">
      <c r="A1" s="64"/>
      <c r="B1" s="65"/>
      <c r="C1" s="65" t="s">
        <v>2</v>
      </c>
      <c r="D1" s="65" t="s">
        <v>3</v>
      </c>
      <c r="E1" s="66" t="s">
        <v>84</v>
      </c>
      <c r="F1" s="17"/>
      <c r="G1" s="68" t="s">
        <v>85</v>
      </c>
      <c r="H1" s="69"/>
      <c r="I1" s="69"/>
      <c r="J1" s="70"/>
      <c r="K1" s="71" t="s">
        <v>86</v>
      </c>
      <c r="L1" s="72"/>
      <c r="M1" s="72"/>
      <c r="N1" s="72"/>
      <c r="O1" s="73"/>
      <c r="P1" s="74" t="s">
        <v>87</v>
      </c>
      <c r="Q1" s="75"/>
      <c r="R1" s="75"/>
      <c r="S1" s="76"/>
      <c r="T1" s="74" t="s">
        <v>88</v>
      </c>
      <c r="U1" s="75"/>
      <c r="V1" s="75"/>
      <c r="W1" s="76"/>
      <c r="X1" s="74" t="s">
        <v>89</v>
      </c>
      <c r="Y1" s="75"/>
      <c r="Z1" s="75"/>
      <c r="AA1" s="76"/>
      <c r="AB1" s="71" t="s">
        <v>90</v>
      </c>
      <c r="AC1" s="72"/>
      <c r="AD1" s="72"/>
      <c r="AE1" s="72"/>
      <c r="AF1" s="73"/>
      <c r="AG1" s="74" t="s">
        <v>91</v>
      </c>
      <c r="AH1" s="75"/>
      <c r="AI1" s="75"/>
      <c r="AJ1" s="76"/>
      <c r="AK1" s="74" t="s">
        <v>92</v>
      </c>
      <c r="AL1" s="75"/>
      <c r="AM1" s="75"/>
      <c r="AN1" s="76"/>
      <c r="AO1" s="74" t="s">
        <v>93</v>
      </c>
      <c r="AP1" s="75"/>
      <c r="AQ1" s="75"/>
      <c r="AR1" s="76"/>
      <c r="AS1" s="71" t="s">
        <v>94</v>
      </c>
      <c r="AT1" s="72"/>
      <c r="AU1" s="72"/>
      <c r="AV1" s="72"/>
      <c r="AW1" s="73"/>
      <c r="AX1" s="74" t="s">
        <v>95</v>
      </c>
      <c r="AY1" s="75"/>
      <c r="AZ1" s="75"/>
      <c r="BA1" s="76"/>
      <c r="BB1" s="74" t="s">
        <v>96</v>
      </c>
      <c r="BC1" s="75"/>
      <c r="BD1" s="75"/>
      <c r="BE1" s="76"/>
      <c r="BF1" s="74" t="s">
        <v>97</v>
      </c>
      <c r="BG1" s="75"/>
      <c r="BH1" s="75"/>
      <c r="BI1" s="76"/>
      <c r="BJ1" s="71" t="s">
        <v>98</v>
      </c>
      <c r="BK1" s="72"/>
      <c r="BL1" s="72"/>
      <c r="BM1" s="72"/>
      <c r="BN1" s="73"/>
      <c r="BO1" s="77" t="s">
        <v>99</v>
      </c>
      <c r="BP1" s="78"/>
      <c r="BQ1" s="78"/>
      <c r="BR1" s="79"/>
      <c r="BS1" s="77" t="s">
        <v>100</v>
      </c>
      <c r="BT1" s="78"/>
      <c r="BU1" s="78"/>
      <c r="BV1" s="79"/>
      <c r="BW1" s="77" t="s">
        <v>101</v>
      </c>
      <c r="BX1" s="78"/>
      <c r="BY1" s="78"/>
      <c r="BZ1" s="79"/>
      <c r="CA1" s="18"/>
    </row>
    <row r="2" spans="1:79" ht="84.75" customHeight="1" x14ac:dyDescent="0.25">
      <c r="A2" s="64"/>
      <c r="B2" s="65"/>
      <c r="C2" s="65"/>
      <c r="D2" s="65"/>
      <c r="E2" s="67"/>
      <c r="F2" s="16" t="s">
        <v>102</v>
      </c>
      <c r="G2" s="16" t="s">
        <v>103</v>
      </c>
      <c r="H2" s="16" t="s">
        <v>6</v>
      </c>
      <c r="I2" s="16" t="s">
        <v>4</v>
      </c>
      <c r="J2" s="16" t="s">
        <v>5</v>
      </c>
      <c r="K2" s="16" t="s">
        <v>0</v>
      </c>
      <c r="L2" s="16" t="s">
        <v>104</v>
      </c>
      <c r="M2" s="16" t="s">
        <v>6</v>
      </c>
      <c r="N2" s="16" t="s">
        <v>4</v>
      </c>
      <c r="O2" s="16" t="s">
        <v>5</v>
      </c>
      <c r="P2" s="16" t="s">
        <v>103</v>
      </c>
      <c r="Q2" s="16" t="s">
        <v>6</v>
      </c>
      <c r="R2" s="16" t="s">
        <v>4</v>
      </c>
      <c r="S2" s="16" t="s">
        <v>5</v>
      </c>
      <c r="T2" s="16" t="s">
        <v>103</v>
      </c>
      <c r="U2" s="16" t="s">
        <v>6</v>
      </c>
      <c r="V2" s="16" t="s">
        <v>4</v>
      </c>
      <c r="W2" s="16" t="s">
        <v>5</v>
      </c>
      <c r="X2" s="16" t="s">
        <v>103</v>
      </c>
      <c r="Y2" s="16" t="s">
        <v>6</v>
      </c>
      <c r="Z2" s="16" t="s">
        <v>4</v>
      </c>
      <c r="AA2" s="16" t="s">
        <v>5</v>
      </c>
      <c r="AB2" s="16" t="s">
        <v>0</v>
      </c>
      <c r="AC2" s="16" t="s">
        <v>104</v>
      </c>
      <c r="AD2" s="16" t="s">
        <v>6</v>
      </c>
      <c r="AE2" s="16" t="s">
        <v>4</v>
      </c>
      <c r="AF2" s="16" t="s">
        <v>5</v>
      </c>
      <c r="AG2" s="16" t="s">
        <v>103</v>
      </c>
      <c r="AH2" s="16" t="s">
        <v>6</v>
      </c>
      <c r="AI2" s="16" t="s">
        <v>4</v>
      </c>
      <c r="AJ2" s="16" t="s">
        <v>5</v>
      </c>
      <c r="AK2" s="16" t="s">
        <v>103</v>
      </c>
      <c r="AL2" s="16" t="s">
        <v>6</v>
      </c>
      <c r="AM2" s="16" t="s">
        <v>4</v>
      </c>
      <c r="AN2" s="16" t="s">
        <v>5</v>
      </c>
      <c r="AO2" s="16" t="s">
        <v>103</v>
      </c>
      <c r="AP2" s="16" t="s">
        <v>6</v>
      </c>
      <c r="AQ2" s="16" t="s">
        <v>4</v>
      </c>
      <c r="AR2" s="16" t="s">
        <v>5</v>
      </c>
      <c r="AS2" s="16" t="s">
        <v>0</v>
      </c>
      <c r="AT2" s="16" t="s">
        <v>104</v>
      </c>
      <c r="AU2" s="16" t="s">
        <v>6</v>
      </c>
      <c r="AV2" s="16" t="s">
        <v>4</v>
      </c>
      <c r="AW2" s="16" t="s">
        <v>5</v>
      </c>
      <c r="AX2" s="16" t="s">
        <v>103</v>
      </c>
      <c r="AY2" s="16" t="s">
        <v>6</v>
      </c>
      <c r="AZ2" s="16" t="s">
        <v>4</v>
      </c>
      <c r="BA2" s="16" t="s">
        <v>5</v>
      </c>
      <c r="BB2" s="16" t="s">
        <v>103</v>
      </c>
      <c r="BC2" s="16" t="s">
        <v>6</v>
      </c>
      <c r="BD2" s="16" t="s">
        <v>4</v>
      </c>
      <c r="BE2" s="16" t="s">
        <v>5</v>
      </c>
      <c r="BF2" s="16" t="s">
        <v>103</v>
      </c>
      <c r="BG2" s="16" t="s">
        <v>6</v>
      </c>
      <c r="BH2" s="16" t="s">
        <v>4</v>
      </c>
      <c r="BI2" s="16" t="s">
        <v>5</v>
      </c>
      <c r="BJ2" s="16" t="s">
        <v>0</v>
      </c>
      <c r="BK2" s="16" t="s">
        <v>104</v>
      </c>
      <c r="BL2" s="16" t="s">
        <v>6</v>
      </c>
      <c r="BM2" s="16" t="s">
        <v>4</v>
      </c>
      <c r="BN2" s="16" t="s">
        <v>5</v>
      </c>
      <c r="BO2" s="20" t="s">
        <v>103</v>
      </c>
      <c r="BP2" s="20" t="s">
        <v>6</v>
      </c>
      <c r="BQ2" s="20" t="s">
        <v>4</v>
      </c>
      <c r="BR2" s="20" t="s">
        <v>5</v>
      </c>
      <c r="BS2" s="20" t="s">
        <v>103</v>
      </c>
      <c r="BT2" s="20" t="s">
        <v>6</v>
      </c>
      <c r="BU2" s="20" t="s">
        <v>4</v>
      </c>
      <c r="BV2" s="20" t="s">
        <v>5</v>
      </c>
      <c r="BW2" s="20" t="s">
        <v>103</v>
      </c>
      <c r="BX2" s="20" t="s">
        <v>6</v>
      </c>
      <c r="BY2" s="20" t="s">
        <v>4</v>
      </c>
      <c r="BZ2" s="20" t="s">
        <v>5</v>
      </c>
      <c r="CA2" s="21"/>
    </row>
    <row r="3" spans="1:79" s="28" customFormat="1" ht="42" customHeight="1" x14ac:dyDescent="0.2">
      <c r="A3" s="22" t="s">
        <v>9</v>
      </c>
      <c r="B3" s="23" t="s">
        <v>10</v>
      </c>
      <c r="C3" s="10">
        <v>10500000</v>
      </c>
      <c r="D3" s="10">
        <v>1449600</v>
      </c>
      <c r="E3" s="24">
        <f>E4</f>
        <v>1449600</v>
      </c>
      <c r="F3" s="25">
        <f>K3+AB3+AS3+BJ3</f>
        <v>1449600</v>
      </c>
      <c r="G3" s="25">
        <f>SUM(G4:G4)</f>
        <v>1449558.37</v>
      </c>
      <c r="H3" s="25">
        <f>SUM(H4:H4)</f>
        <v>1449558.3699999999</v>
      </c>
      <c r="I3" s="1">
        <f>SUM(I4:I4)</f>
        <v>2141</v>
      </c>
      <c r="J3" s="1">
        <f>SUM(J4:J4)</f>
        <v>2162</v>
      </c>
      <c r="K3" s="24">
        <v>1449600</v>
      </c>
      <c r="L3" s="25">
        <f>SUM(L4:L4)</f>
        <v>1445490.37</v>
      </c>
      <c r="M3" s="25">
        <f>SUM(M4:M4)</f>
        <v>1442582.72</v>
      </c>
      <c r="N3" s="1">
        <f>SUM(N4:N4)</f>
        <v>2141</v>
      </c>
      <c r="O3" s="1">
        <f>O4</f>
        <v>2159</v>
      </c>
      <c r="P3" s="25">
        <f>P4</f>
        <v>1184682.23</v>
      </c>
      <c r="Q3" s="25">
        <f>Q4</f>
        <v>544218.77</v>
      </c>
      <c r="R3" s="1">
        <f>SUM(R4:R4)</f>
        <v>1806</v>
      </c>
      <c r="S3" s="1">
        <f>S4</f>
        <v>1815</v>
      </c>
      <c r="T3" s="25">
        <f>T4</f>
        <v>165776.51</v>
      </c>
      <c r="U3" s="26">
        <f>U4</f>
        <v>806239.97</v>
      </c>
      <c r="V3" s="1">
        <f>SUM(V4:V4)</f>
        <v>219</v>
      </c>
      <c r="W3" s="1">
        <f>W4</f>
        <v>219</v>
      </c>
      <c r="X3" s="26">
        <f>X4</f>
        <v>95031.63</v>
      </c>
      <c r="Y3" s="26">
        <f>Y4</f>
        <v>92123.98</v>
      </c>
      <c r="Z3" s="1">
        <f>SUM(Z4:Z4)</f>
        <v>125</v>
      </c>
      <c r="AA3" s="1">
        <f>SUM(AA4:AA4)</f>
        <v>125</v>
      </c>
      <c r="AB3" s="24">
        <v>0</v>
      </c>
      <c r="AC3" s="25">
        <f>SUM(AC4:AC4)</f>
        <v>0</v>
      </c>
      <c r="AD3" s="25">
        <f>SUM(AD4:AD4)</f>
        <v>2907.65</v>
      </c>
      <c r="AE3" s="1">
        <f>SUM(AE4:AE4)</f>
        <v>0</v>
      </c>
      <c r="AF3" s="1">
        <f>AF4</f>
        <v>0</v>
      </c>
      <c r="AG3" s="25">
        <f>AG4</f>
        <v>0</v>
      </c>
      <c r="AH3" s="10">
        <f>AH4</f>
        <v>0</v>
      </c>
      <c r="AI3" s="1">
        <f>SUM(AI4:AI4)</f>
        <v>0</v>
      </c>
      <c r="AJ3" s="1">
        <f>SUM(AJ4:AJ4)</f>
        <v>0</v>
      </c>
      <c r="AK3" s="25">
        <f>AK4</f>
        <v>0</v>
      </c>
      <c r="AL3" s="24">
        <f>AL4</f>
        <v>2907.65</v>
      </c>
      <c r="AM3" s="1">
        <f>SUM(AM4:AM4)</f>
        <v>0</v>
      </c>
      <c r="AN3" s="1">
        <f>SUM(AN4:AN4)</f>
        <v>0</v>
      </c>
      <c r="AO3" s="25">
        <f>AO4</f>
        <v>0</v>
      </c>
      <c r="AP3" s="24">
        <f>AP4</f>
        <v>0</v>
      </c>
      <c r="AQ3" s="1">
        <f>SUM(AQ4:AQ4)</f>
        <v>0</v>
      </c>
      <c r="AR3" s="1">
        <f>SUM(AR4:AR4)</f>
        <v>0</v>
      </c>
      <c r="AS3" s="24">
        <v>0</v>
      </c>
      <c r="AT3" s="25">
        <f>SUM(AT4:AT4)</f>
        <v>0</v>
      </c>
      <c r="AU3" s="25">
        <f>SUM(AU4:AU4)</f>
        <v>0</v>
      </c>
      <c r="AV3" s="1">
        <f>SUM(AV4:AV4)</f>
        <v>0</v>
      </c>
      <c r="AW3" s="1">
        <f>AW4</f>
        <v>0</v>
      </c>
      <c r="AX3" s="25">
        <f>AX4</f>
        <v>0</v>
      </c>
      <c r="AY3" s="24">
        <f>AY4</f>
        <v>0</v>
      </c>
      <c r="AZ3" s="1">
        <f>SUM(AZ4:AZ4)</f>
        <v>0</v>
      </c>
      <c r="BA3" s="1">
        <f>SUM(BA4:BA4)</f>
        <v>0</v>
      </c>
      <c r="BB3" s="25">
        <f>BB4</f>
        <v>0</v>
      </c>
      <c r="BC3" s="24">
        <f>BC4</f>
        <v>0</v>
      </c>
      <c r="BD3" s="1">
        <f>SUM(BD4:BD4)</f>
        <v>0</v>
      </c>
      <c r="BE3" s="1">
        <f>SUM(BE4:BE4)</f>
        <v>0</v>
      </c>
      <c r="BF3" s="25">
        <f>BF4</f>
        <v>0</v>
      </c>
      <c r="BG3" s="24">
        <f>BG4</f>
        <v>0</v>
      </c>
      <c r="BH3" s="1">
        <f>SUM(BH4:BH4)</f>
        <v>0</v>
      </c>
      <c r="BI3" s="1">
        <f>SUM(BI4:BI4)</f>
        <v>0</v>
      </c>
      <c r="BJ3" s="24">
        <v>0</v>
      </c>
      <c r="BK3" s="25">
        <f>SUM(BK4:BK4)</f>
        <v>4068</v>
      </c>
      <c r="BL3" s="25">
        <f>SUM(BL4:BL4)</f>
        <v>4068</v>
      </c>
      <c r="BM3" s="1">
        <f>SUM(BM4:BM4)</f>
        <v>3</v>
      </c>
      <c r="BN3" s="1">
        <f>BN4</f>
        <v>3</v>
      </c>
      <c r="BO3" s="24">
        <f>BO4</f>
        <v>0</v>
      </c>
      <c r="BP3" s="24">
        <f>BP4</f>
        <v>0</v>
      </c>
      <c r="BQ3" s="2">
        <f>SUM(BQ4:BQ4)</f>
        <v>0</v>
      </c>
      <c r="BR3" s="2">
        <f>SUM(BR4:BR4)</f>
        <v>0</v>
      </c>
      <c r="BS3" s="24">
        <f>BS4</f>
        <v>0</v>
      </c>
      <c r="BT3" s="24">
        <f>BT4</f>
        <v>0</v>
      </c>
      <c r="BU3" s="2">
        <f>SUM(BU4:BU4)</f>
        <v>0</v>
      </c>
      <c r="BV3" s="2">
        <f>SUM(BV4:BV4)</f>
        <v>0</v>
      </c>
      <c r="BW3" s="24">
        <f>BW4</f>
        <v>4068</v>
      </c>
      <c r="BX3" s="24">
        <f>BX4</f>
        <v>4068</v>
      </c>
      <c r="BY3" s="2">
        <f>SUM(BY4:BY4)</f>
        <v>3</v>
      </c>
      <c r="BZ3" s="2">
        <f>SUM(BZ4:BZ4)</f>
        <v>3</v>
      </c>
      <c r="CA3" s="27"/>
    </row>
    <row r="4" spans="1:79" s="28" customFormat="1" ht="42" customHeight="1" x14ac:dyDescent="0.2">
      <c r="A4" s="29"/>
      <c r="B4" s="3" t="s">
        <v>10</v>
      </c>
      <c r="C4" s="9"/>
      <c r="D4" s="9"/>
      <c r="E4" s="9">
        <v>1449600</v>
      </c>
      <c r="F4" s="30"/>
      <c r="G4" s="30">
        <f>L4+AC4+AT4+BK4</f>
        <v>1449558.37</v>
      </c>
      <c r="H4" s="30">
        <f>M4+AD4+AU4+BL4</f>
        <v>1449558.3699999999</v>
      </c>
      <c r="I4" s="4">
        <v>2141</v>
      </c>
      <c r="J4" s="4">
        <f>O4+AF4+AW4+BN4</f>
        <v>2162</v>
      </c>
      <c r="K4" s="31"/>
      <c r="L4" s="32">
        <f>P4+T4+X4</f>
        <v>1445490.37</v>
      </c>
      <c r="M4" s="32">
        <f>Q4+U4+Y4</f>
        <v>1442582.72</v>
      </c>
      <c r="N4" s="4">
        <v>2141</v>
      </c>
      <c r="O4" s="4">
        <f>S4+W4+AA4</f>
        <v>2159</v>
      </c>
      <c r="P4" s="30">
        <v>1184682.23</v>
      </c>
      <c r="Q4" s="30">
        <v>544218.77</v>
      </c>
      <c r="R4" s="4">
        <v>1806</v>
      </c>
      <c r="S4" s="4">
        <v>1815</v>
      </c>
      <c r="T4" s="30">
        <v>165776.51</v>
      </c>
      <c r="U4" s="30">
        <v>806239.97</v>
      </c>
      <c r="V4" s="4">
        <v>219</v>
      </c>
      <c r="W4" s="4">
        <v>219</v>
      </c>
      <c r="X4" s="30">
        <v>95031.63</v>
      </c>
      <c r="Y4" s="30">
        <v>92123.98</v>
      </c>
      <c r="Z4" s="4">
        <v>125</v>
      </c>
      <c r="AA4" s="4">
        <v>125</v>
      </c>
      <c r="AB4" s="31"/>
      <c r="AC4" s="32">
        <f>AG4+AK4+AO4</f>
        <v>0</v>
      </c>
      <c r="AD4" s="32">
        <f>AH4+AL4+AP4</f>
        <v>2907.65</v>
      </c>
      <c r="AE4" s="4">
        <v>0</v>
      </c>
      <c r="AF4" s="4">
        <f>AJ4+AN4+AR4</f>
        <v>0</v>
      </c>
      <c r="AG4" s="30">
        <v>0</v>
      </c>
      <c r="AH4" s="9"/>
      <c r="AI4" s="4">
        <v>0</v>
      </c>
      <c r="AJ4" s="4">
        <v>0</v>
      </c>
      <c r="AK4" s="30">
        <v>0</v>
      </c>
      <c r="AL4" s="9">
        <v>2907.65</v>
      </c>
      <c r="AM4" s="4">
        <v>0</v>
      </c>
      <c r="AN4" s="4">
        <v>0</v>
      </c>
      <c r="AO4" s="30">
        <v>0</v>
      </c>
      <c r="AP4" s="9"/>
      <c r="AQ4" s="4">
        <v>0</v>
      </c>
      <c r="AR4" s="4">
        <v>0</v>
      </c>
      <c r="AS4" s="31"/>
      <c r="AT4" s="32">
        <f>AX4+BB4+BF4</f>
        <v>0</v>
      </c>
      <c r="AU4" s="32">
        <f>AY4+BC4+BG4</f>
        <v>0</v>
      </c>
      <c r="AV4" s="4">
        <v>0</v>
      </c>
      <c r="AW4" s="4">
        <f>BA4+BE4+BI4</f>
        <v>0</v>
      </c>
      <c r="AX4" s="30">
        <v>0</v>
      </c>
      <c r="AY4" s="9"/>
      <c r="AZ4" s="4">
        <v>0</v>
      </c>
      <c r="BA4" s="4">
        <v>0</v>
      </c>
      <c r="BB4" s="30">
        <v>0</v>
      </c>
      <c r="BC4" s="9"/>
      <c r="BD4" s="4">
        <v>0</v>
      </c>
      <c r="BE4" s="4">
        <v>0</v>
      </c>
      <c r="BF4" s="30">
        <v>0</v>
      </c>
      <c r="BG4" s="9"/>
      <c r="BH4" s="4">
        <v>0</v>
      </c>
      <c r="BI4" s="4">
        <v>0</v>
      </c>
      <c r="BJ4" s="31"/>
      <c r="BK4" s="32">
        <f>BO4+BS4+BW4</f>
        <v>4068</v>
      </c>
      <c r="BL4" s="32">
        <f>BP4+BT4+BX4</f>
        <v>4068</v>
      </c>
      <c r="BM4" s="4">
        <v>3</v>
      </c>
      <c r="BN4" s="4">
        <f>BR4+BV4+BZ4</f>
        <v>3</v>
      </c>
      <c r="BO4" s="9">
        <v>0</v>
      </c>
      <c r="BP4" s="9"/>
      <c r="BQ4" s="5"/>
      <c r="BR4" s="5"/>
      <c r="BS4" s="9">
        <v>0</v>
      </c>
      <c r="BT4" s="9"/>
      <c r="BU4" s="5">
        <v>0</v>
      </c>
      <c r="BV4" s="5">
        <v>0</v>
      </c>
      <c r="BW4" s="9">
        <v>4068</v>
      </c>
      <c r="BX4" s="9">
        <v>4068</v>
      </c>
      <c r="BY4" s="5">
        <v>3</v>
      </c>
      <c r="BZ4" s="5">
        <v>3</v>
      </c>
      <c r="CA4" s="27"/>
    </row>
    <row r="5" spans="1:79" s="28" customFormat="1" ht="42" customHeight="1" x14ac:dyDescent="0.2">
      <c r="A5" s="22" t="s">
        <v>11</v>
      </c>
      <c r="B5" s="23" t="s">
        <v>12</v>
      </c>
      <c r="C5" s="10">
        <v>12290000</v>
      </c>
      <c r="D5" s="10">
        <v>11203900</v>
      </c>
      <c r="E5" s="10">
        <f>SUM(E6:E8)</f>
        <v>11203900</v>
      </c>
      <c r="F5" s="25">
        <f>K5+AB5+AS5+BJ5</f>
        <v>11203900</v>
      </c>
      <c r="G5" s="26">
        <f>SUM(G6:G8)</f>
        <v>11203823.609999999</v>
      </c>
      <c r="H5" s="26">
        <f>SUM(H6:H8)</f>
        <v>11203823.609999999</v>
      </c>
      <c r="I5" s="6">
        <f>SUM(I6:I8)</f>
        <v>26263</v>
      </c>
      <c r="J5" s="6">
        <f>SUM(J6:J8)</f>
        <v>135488</v>
      </c>
      <c r="K5" s="10">
        <v>3050000</v>
      </c>
      <c r="L5" s="26">
        <f t="shared" ref="L5:AA5" si="0">SUM(L6:L8)</f>
        <v>2704504.08</v>
      </c>
      <c r="M5" s="26">
        <f t="shared" si="0"/>
        <v>2704504.08</v>
      </c>
      <c r="N5" s="6">
        <f t="shared" si="0"/>
        <v>8390</v>
      </c>
      <c r="O5" s="6">
        <f t="shared" si="0"/>
        <v>33366</v>
      </c>
      <c r="P5" s="26">
        <f t="shared" si="0"/>
        <v>849552.08000000007</v>
      </c>
      <c r="Q5" s="26">
        <f t="shared" si="0"/>
        <v>811453.74</v>
      </c>
      <c r="R5" s="6">
        <f t="shared" si="0"/>
        <v>3719</v>
      </c>
      <c r="S5" s="6">
        <f t="shared" si="0"/>
        <v>10905</v>
      </c>
      <c r="T5" s="26">
        <f t="shared" si="0"/>
        <v>924928.88</v>
      </c>
      <c r="U5" s="26">
        <f t="shared" si="0"/>
        <v>927593.57000000007</v>
      </c>
      <c r="V5" s="6">
        <f t="shared" si="0"/>
        <v>4015</v>
      </c>
      <c r="W5" s="6">
        <f t="shared" si="0"/>
        <v>11321</v>
      </c>
      <c r="X5" s="26">
        <f t="shared" si="0"/>
        <v>930023.12</v>
      </c>
      <c r="Y5" s="26">
        <f t="shared" si="0"/>
        <v>965456.77</v>
      </c>
      <c r="Z5" s="6">
        <f t="shared" si="0"/>
        <v>4014</v>
      </c>
      <c r="AA5" s="6">
        <f t="shared" si="0"/>
        <v>11140</v>
      </c>
      <c r="AB5" s="10">
        <v>3220000</v>
      </c>
      <c r="AC5" s="26">
        <f t="shared" ref="AC5:AN5" si="1">SUM(AC6:AC8)</f>
        <v>3072509.92</v>
      </c>
      <c r="AD5" s="26">
        <f t="shared" si="1"/>
        <v>3061098.74</v>
      </c>
      <c r="AE5" s="6">
        <f t="shared" si="1"/>
        <v>9259</v>
      </c>
      <c r="AF5" s="6">
        <f t="shared" si="1"/>
        <v>37325</v>
      </c>
      <c r="AG5" s="26">
        <f t="shared" si="1"/>
        <v>1066619.74</v>
      </c>
      <c r="AH5" s="10">
        <f t="shared" si="1"/>
        <v>1015379.66</v>
      </c>
      <c r="AI5" s="6">
        <f t="shared" si="1"/>
        <v>4537</v>
      </c>
      <c r="AJ5" s="6">
        <f t="shared" si="1"/>
        <v>12854</v>
      </c>
      <c r="AK5" s="26">
        <f t="shared" si="1"/>
        <v>976842.04999999993</v>
      </c>
      <c r="AL5" s="8">
        <f t="shared" si="1"/>
        <v>1006380.8999999999</v>
      </c>
      <c r="AM5" s="6">
        <f t="shared" si="1"/>
        <v>4082</v>
      </c>
      <c r="AN5" s="6">
        <f t="shared" si="1"/>
        <v>11995</v>
      </c>
      <c r="AO5" s="26">
        <f>SUM(AO6:AO8)</f>
        <v>1029048.13</v>
      </c>
      <c r="AP5" s="8">
        <f>SUM(AP6:AP8)</f>
        <v>1039338.18</v>
      </c>
      <c r="AQ5" s="6">
        <f>SUM(AQ6:AQ8)</f>
        <v>4141</v>
      </c>
      <c r="AR5" s="6">
        <f>SUM(AR6:AR8)</f>
        <v>12476</v>
      </c>
      <c r="AS5" s="10">
        <v>3085000</v>
      </c>
      <c r="AT5" s="26">
        <f t="shared" ref="AT5:BZ5" si="2">SUM(AT6:AT8)</f>
        <v>2792477.4</v>
      </c>
      <c r="AU5" s="26">
        <f t="shared" si="2"/>
        <v>2783393.6199999996</v>
      </c>
      <c r="AV5" s="6">
        <f t="shared" si="2"/>
        <v>7655</v>
      </c>
      <c r="AW5" s="6">
        <f>SUM(AW6:AW8)</f>
        <v>33466</v>
      </c>
      <c r="AX5" s="26">
        <f t="shared" si="2"/>
        <v>998153.58</v>
      </c>
      <c r="AY5" s="8">
        <f t="shared" si="2"/>
        <v>983395.99</v>
      </c>
      <c r="AZ5" s="6">
        <f t="shared" si="2"/>
        <v>3887</v>
      </c>
      <c r="BA5" s="6">
        <f t="shared" si="2"/>
        <v>11848</v>
      </c>
      <c r="BB5" s="26">
        <f t="shared" si="2"/>
        <v>896277.63</v>
      </c>
      <c r="BC5" s="8">
        <f t="shared" si="2"/>
        <v>922446.4</v>
      </c>
      <c r="BD5" s="6">
        <f t="shared" si="2"/>
        <v>3612</v>
      </c>
      <c r="BE5" s="6">
        <f t="shared" si="2"/>
        <v>10955</v>
      </c>
      <c r="BF5" s="26">
        <f t="shared" si="2"/>
        <v>898046.19</v>
      </c>
      <c r="BG5" s="8">
        <f t="shared" si="2"/>
        <v>877551.23</v>
      </c>
      <c r="BH5" s="6">
        <f t="shared" si="2"/>
        <v>3611</v>
      </c>
      <c r="BI5" s="6">
        <f t="shared" si="2"/>
        <v>10663</v>
      </c>
      <c r="BJ5" s="10">
        <v>1848900</v>
      </c>
      <c r="BK5" s="26">
        <f>SUM(BK6:BK8)</f>
        <v>2634332.21</v>
      </c>
      <c r="BL5" s="26">
        <f>SUM(BL6:BL8)</f>
        <v>2654827.17</v>
      </c>
      <c r="BM5" s="6">
        <f>SUM(BM6:BM8)</f>
        <v>7618</v>
      </c>
      <c r="BN5" s="6">
        <f>SUM(BN6:BN8)</f>
        <v>31331</v>
      </c>
      <c r="BO5" s="10">
        <f t="shared" si="2"/>
        <v>854303.19000000006</v>
      </c>
      <c r="BP5" s="8">
        <f t="shared" si="2"/>
        <v>851519.38</v>
      </c>
      <c r="BQ5" s="7">
        <f t="shared" si="2"/>
        <v>3487</v>
      </c>
      <c r="BR5" s="7">
        <f t="shared" si="2"/>
        <v>10374</v>
      </c>
      <c r="BS5" s="10">
        <f t="shared" si="2"/>
        <v>893150.28</v>
      </c>
      <c r="BT5" s="8">
        <f t="shared" si="2"/>
        <v>916429.05</v>
      </c>
      <c r="BU5" s="7">
        <f>SUM(BU6:BU8)</f>
        <v>3773</v>
      </c>
      <c r="BV5" s="7">
        <f>SUM(BV6:BV8)</f>
        <v>10658</v>
      </c>
      <c r="BW5" s="10">
        <f t="shared" si="2"/>
        <v>886878.74</v>
      </c>
      <c r="BX5" s="8">
        <f t="shared" si="2"/>
        <v>886878.74</v>
      </c>
      <c r="BY5" s="7">
        <f t="shared" si="2"/>
        <v>3587</v>
      </c>
      <c r="BZ5" s="7">
        <f t="shared" si="2"/>
        <v>10299</v>
      </c>
      <c r="CA5" s="27"/>
    </row>
    <row r="6" spans="1:79" s="35" customFormat="1" ht="80.25" customHeight="1" x14ac:dyDescent="0.25">
      <c r="A6" s="33"/>
      <c r="B6" s="34" t="s">
        <v>105</v>
      </c>
      <c r="C6" s="9"/>
      <c r="D6" s="9"/>
      <c r="E6" s="9">
        <v>2532200</v>
      </c>
      <c r="F6" s="30"/>
      <c r="G6" s="30">
        <f t="shared" ref="G6:H8" si="3">L6+AC6+AT6+BK6</f>
        <v>2532182.4299999997</v>
      </c>
      <c r="H6" s="30">
        <f t="shared" si="3"/>
        <v>2532182.4299999997</v>
      </c>
      <c r="I6" s="4">
        <v>24165</v>
      </c>
      <c r="J6" s="4">
        <f>O6+AF6+AW6+BN6</f>
        <v>42702</v>
      </c>
      <c r="K6" s="31"/>
      <c r="L6" s="32">
        <f>P6+T6+X6</f>
        <v>643791.9</v>
      </c>
      <c r="M6" s="32">
        <f t="shared" ref="L6:M8" si="4">Q6+U6+Y6</f>
        <v>643791.9</v>
      </c>
      <c r="N6" s="4">
        <v>7666</v>
      </c>
      <c r="O6" s="4">
        <f>S6+W6+AA6</f>
        <v>10880</v>
      </c>
      <c r="P6" s="30">
        <v>202105.54</v>
      </c>
      <c r="Q6" s="30">
        <v>164007.20000000001</v>
      </c>
      <c r="R6" s="4">
        <v>3331</v>
      </c>
      <c r="S6" s="4">
        <v>3476</v>
      </c>
      <c r="T6" s="30">
        <v>222497.74</v>
      </c>
      <c r="U6" s="30">
        <v>225162.43</v>
      </c>
      <c r="V6" s="4">
        <v>3607</v>
      </c>
      <c r="W6" s="4">
        <v>3730</v>
      </c>
      <c r="X6" s="30">
        <v>219188.62</v>
      </c>
      <c r="Y6" s="30">
        <v>254622.27</v>
      </c>
      <c r="Z6" s="4">
        <v>3584</v>
      </c>
      <c r="AA6" s="4">
        <v>3674</v>
      </c>
      <c r="AB6" s="31"/>
      <c r="AC6" s="32">
        <f t="shared" ref="AC6:AD8" si="5">AG6+AK6+AO6</f>
        <v>684488.17</v>
      </c>
      <c r="AD6" s="32">
        <f t="shared" si="5"/>
        <v>673076.99</v>
      </c>
      <c r="AE6" s="4">
        <v>8448</v>
      </c>
      <c r="AF6" s="4">
        <f>AJ6+AN6+AR6</f>
        <v>11737</v>
      </c>
      <c r="AG6" s="30">
        <v>238391.84000000005</v>
      </c>
      <c r="AH6" s="9">
        <v>187151.76</v>
      </c>
      <c r="AI6" s="4">
        <v>4085</v>
      </c>
      <c r="AJ6" s="4">
        <v>4189</v>
      </c>
      <c r="AK6" s="30">
        <v>221385.35</v>
      </c>
      <c r="AL6" s="9">
        <v>250924.2</v>
      </c>
      <c r="AM6" s="4">
        <v>3630</v>
      </c>
      <c r="AN6" s="4">
        <v>3758</v>
      </c>
      <c r="AO6" s="30">
        <v>224710.98</v>
      </c>
      <c r="AP6" s="9">
        <v>235001.03</v>
      </c>
      <c r="AQ6" s="4">
        <v>3688</v>
      </c>
      <c r="AR6" s="4">
        <v>3790</v>
      </c>
      <c r="AS6" s="31"/>
      <c r="AT6" s="32">
        <f>AX6+BB6+BF6</f>
        <v>608898.39</v>
      </c>
      <c r="AU6" s="32">
        <f t="shared" ref="AT6:AU8" si="6">AY6+BC6+BG6</f>
        <v>599814.61</v>
      </c>
      <c r="AV6" s="4">
        <v>6907</v>
      </c>
      <c r="AW6" s="4">
        <f>BA6+BE6+BI6</f>
        <v>10191</v>
      </c>
      <c r="AX6" s="30">
        <v>211852.21</v>
      </c>
      <c r="AY6" s="9">
        <v>197094.62</v>
      </c>
      <c r="AZ6" s="4">
        <v>3434</v>
      </c>
      <c r="BA6" s="4">
        <v>3574</v>
      </c>
      <c r="BB6" s="30">
        <v>199218.48</v>
      </c>
      <c r="BC6" s="9">
        <v>225387.25</v>
      </c>
      <c r="BD6" s="4">
        <v>3207</v>
      </c>
      <c r="BE6" s="4">
        <v>3314</v>
      </c>
      <c r="BF6" s="30">
        <v>197827.7</v>
      </c>
      <c r="BG6" s="9">
        <v>177332.74</v>
      </c>
      <c r="BH6" s="4">
        <v>3215</v>
      </c>
      <c r="BI6" s="4">
        <v>3303</v>
      </c>
      <c r="BJ6" s="31"/>
      <c r="BK6" s="32">
        <f t="shared" ref="BK6:BL8" si="7">BO6+BS6+BW6</f>
        <v>595003.97</v>
      </c>
      <c r="BL6" s="32">
        <f t="shared" si="7"/>
        <v>615498.92999999993</v>
      </c>
      <c r="BM6" s="4">
        <v>6930</v>
      </c>
      <c r="BN6" s="4">
        <f>BR6+BV6+BZ6</f>
        <v>9894</v>
      </c>
      <c r="BO6" s="9">
        <v>192613.54</v>
      </c>
      <c r="BP6" s="9">
        <v>189829.73</v>
      </c>
      <c r="BQ6" s="5">
        <v>3119</v>
      </c>
      <c r="BR6" s="5">
        <v>3195</v>
      </c>
      <c r="BS6" s="9">
        <v>206330.22</v>
      </c>
      <c r="BT6" s="9">
        <v>229608.99</v>
      </c>
      <c r="BU6" s="5">
        <v>3379</v>
      </c>
      <c r="BV6" s="5">
        <v>3450</v>
      </c>
      <c r="BW6" s="9">
        <v>196060.21</v>
      </c>
      <c r="BX6" s="9">
        <v>196060.21</v>
      </c>
      <c r="BY6" s="5">
        <v>3207</v>
      </c>
      <c r="BZ6" s="5">
        <v>3249</v>
      </c>
      <c r="CA6" s="27"/>
    </row>
    <row r="7" spans="1:79" s="35" customFormat="1" ht="42" customHeight="1" x14ac:dyDescent="0.25">
      <c r="A7" s="33"/>
      <c r="B7" s="36" t="s">
        <v>13</v>
      </c>
      <c r="C7" s="9"/>
      <c r="D7" s="9"/>
      <c r="E7" s="9">
        <v>8671700</v>
      </c>
      <c r="F7" s="30"/>
      <c r="G7" s="30">
        <f t="shared" si="3"/>
        <v>8671641.1799999997</v>
      </c>
      <c r="H7" s="30">
        <f t="shared" si="3"/>
        <v>8671641.1799999997</v>
      </c>
      <c r="I7" s="4">
        <v>2098</v>
      </c>
      <c r="J7" s="4">
        <f>O7+AF7+AW7+BN7</f>
        <v>92786</v>
      </c>
      <c r="K7" s="31"/>
      <c r="L7" s="32">
        <f t="shared" si="4"/>
        <v>2060712.1800000002</v>
      </c>
      <c r="M7" s="32">
        <f t="shared" si="4"/>
        <v>2060712.1800000002</v>
      </c>
      <c r="N7" s="4">
        <v>724</v>
      </c>
      <c r="O7" s="4">
        <f>S7+W7+AA7</f>
        <v>22486</v>
      </c>
      <c r="P7" s="30">
        <v>647446.54</v>
      </c>
      <c r="Q7" s="30">
        <v>647446.54</v>
      </c>
      <c r="R7" s="4">
        <v>388</v>
      </c>
      <c r="S7" s="4">
        <v>7429</v>
      </c>
      <c r="T7" s="30">
        <v>702431.14</v>
      </c>
      <c r="U7" s="30">
        <v>702431.14</v>
      </c>
      <c r="V7" s="4">
        <v>408</v>
      </c>
      <c r="W7" s="4">
        <v>7591</v>
      </c>
      <c r="X7" s="30">
        <v>710834.5</v>
      </c>
      <c r="Y7" s="30">
        <v>710834.5</v>
      </c>
      <c r="Z7" s="4">
        <v>430</v>
      </c>
      <c r="AA7" s="4">
        <v>7466</v>
      </c>
      <c r="AB7" s="31"/>
      <c r="AC7" s="32">
        <f t="shared" si="5"/>
        <v>2388021.75</v>
      </c>
      <c r="AD7" s="32">
        <f t="shared" si="5"/>
        <v>2388021.75</v>
      </c>
      <c r="AE7" s="4">
        <v>811</v>
      </c>
      <c r="AF7" s="4">
        <f>AJ7+AN7+AR7</f>
        <v>25588</v>
      </c>
      <c r="AG7" s="30">
        <v>828227.89999999991</v>
      </c>
      <c r="AH7" s="9">
        <v>828227.9</v>
      </c>
      <c r="AI7" s="4">
        <v>452</v>
      </c>
      <c r="AJ7" s="4">
        <v>8665</v>
      </c>
      <c r="AK7" s="30">
        <v>755456.7</v>
      </c>
      <c r="AL7" s="9">
        <v>755456.7</v>
      </c>
      <c r="AM7" s="4">
        <v>452</v>
      </c>
      <c r="AN7" s="4">
        <v>8237</v>
      </c>
      <c r="AO7" s="30">
        <v>804337.15</v>
      </c>
      <c r="AP7" s="9">
        <v>804337.15</v>
      </c>
      <c r="AQ7" s="4">
        <v>453</v>
      </c>
      <c r="AR7" s="4">
        <v>8686</v>
      </c>
      <c r="AS7" s="31"/>
      <c r="AT7" s="32">
        <f t="shared" si="6"/>
        <v>2183579.0099999998</v>
      </c>
      <c r="AU7" s="32">
        <f t="shared" si="6"/>
        <v>2183579.0099999998</v>
      </c>
      <c r="AV7" s="4">
        <v>748</v>
      </c>
      <c r="AW7" s="4">
        <f>BA7+BE7+BI7</f>
        <v>23275</v>
      </c>
      <c r="AX7" s="30">
        <v>786301.37</v>
      </c>
      <c r="AY7" s="9">
        <v>786301.37</v>
      </c>
      <c r="AZ7" s="4">
        <v>453</v>
      </c>
      <c r="BA7" s="4">
        <v>8274</v>
      </c>
      <c r="BB7" s="30">
        <v>697059.15</v>
      </c>
      <c r="BC7" s="9">
        <v>697059.15</v>
      </c>
      <c r="BD7" s="4">
        <v>405</v>
      </c>
      <c r="BE7" s="4">
        <v>7641</v>
      </c>
      <c r="BF7" s="30">
        <v>700218.49</v>
      </c>
      <c r="BG7" s="9">
        <v>700218.49</v>
      </c>
      <c r="BH7" s="4">
        <v>396</v>
      </c>
      <c r="BI7" s="4">
        <v>7360</v>
      </c>
      <c r="BJ7" s="31"/>
      <c r="BK7" s="32">
        <f t="shared" si="7"/>
        <v>2039328.24</v>
      </c>
      <c r="BL7" s="32">
        <f t="shared" si="7"/>
        <v>2039328.24</v>
      </c>
      <c r="BM7" s="4">
        <v>688</v>
      </c>
      <c r="BN7" s="4">
        <f>BR7+BV7+BZ7</f>
        <v>21437</v>
      </c>
      <c r="BO7" s="9">
        <v>661689.65</v>
      </c>
      <c r="BP7" s="9">
        <v>661689.65</v>
      </c>
      <c r="BQ7" s="5">
        <v>368</v>
      </c>
      <c r="BR7" s="5">
        <v>7179</v>
      </c>
      <c r="BS7" s="9">
        <v>686820.06</v>
      </c>
      <c r="BT7" s="9">
        <v>686820.06</v>
      </c>
      <c r="BU7" s="5">
        <v>394</v>
      </c>
      <c r="BV7" s="5">
        <v>7208</v>
      </c>
      <c r="BW7" s="9">
        <v>690818.53</v>
      </c>
      <c r="BX7" s="9">
        <v>690818.53</v>
      </c>
      <c r="BY7" s="5">
        <v>380</v>
      </c>
      <c r="BZ7" s="5">
        <v>7050</v>
      </c>
      <c r="CA7" s="27"/>
    </row>
    <row r="8" spans="1:79" s="35" customFormat="1" ht="65.25" customHeight="1" x14ac:dyDescent="0.25">
      <c r="A8" s="33"/>
      <c r="B8" s="34" t="s">
        <v>14</v>
      </c>
      <c r="C8" s="9"/>
      <c r="D8" s="9"/>
      <c r="E8" s="9">
        <v>0</v>
      </c>
      <c r="F8" s="30"/>
      <c r="G8" s="30">
        <f t="shared" si="3"/>
        <v>0</v>
      </c>
      <c r="H8" s="30">
        <f t="shared" si="3"/>
        <v>0</v>
      </c>
      <c r="I8" s="4">
        <v>0</v>
      </c>
      <c r="J8" s="4">
        <f>O8+AF8+AW8+BN8</f>
        <v>0</v>
      </c>
      <c r="K8" s="31"/>
      <c r="L8" s="32">
        <f t="shared" si="4"/>
        <v>0</v>
      </c>
      <c r="M8" s="32">
        <f t="shared" si="4"/>
        <v>0</v>
      </c>
      <c r="N8" s="4"/>
      <c r="O8" s="4">
        <f>S8+W8+AA8</f>
        <v>0</v>
      </c>
      <c r="P8" s="30">
        <v>0</v>
      </c>
      <c r="Q8" s="30"/>
      <c r="R8" s="4">
        <v>0</v>
      </c>
      <c r="S8" s="4"/>
      <c r="T8" s="30">
        <v>0</v>
      </c>
      <c r="U8" s="30"/>
      <c r="V8" s="4">
        <v>0</v>
      </c>
      <c r="W8" s="4">
        <v>0</v>
      </c>
      <c r="X8" s="30">
        <v>0</v>
      </c>
      <c r="Y8" s="30"/>
      <c r="Z8" s="4">
        <v>0</v>
      </c>
      <c r="AA8" s="4">
        <v>0</v>
      </c>
      <c r="AB8" s="31"/>
      <c r="AC8" s="32">
        <f t="shared" si="5"/>
        <v>0</v>
      </c>
      <c r="AD8" s="32">
        <f t="shared" si="5"/>
        <v>0</v>
      </c>
      <c r="AE8" s="4">
        <v>0</v>
      </c>
      <c r="AF8" s="4">
        <f>AJ8+AN8+AR8</f>
        <v>0</v>
      </c>
      <c r="AG8" s="30">
        <v>0</v>
      </c>
      <c r="AH8" s="9"/>
      <c r="AI8" s="4">
        <v>0</v>
      </c>
      <c r="AJ8" s="4">
        <v>0</v>
      </c>
      <c r="AK8" s="30">
        <v>0</v>
      </c>
      <c r="AL8" s="9"/>
      <c r="AM8" s="4"/>
      <c r="AN8" s="4"/>
      <c r="AO8" s="30">
        <v>0</v>
      </c>
      <c r="AP8" s="9"/>
      <c r="AQ8" s="4"/>
      <c r="AR8" s="4"/>
      <c r="AS8" s="31"/>
      <c r="AT8" s="32">
        <f t="shared" si="6"/>
        <v>0</v>
      </c>
      <c r="AU8" s="32">
        <f t="shared" si="6"/>
        <v>0</v>
      </c>
      <c r="AV8" s="4">
        <v>0</v>
      </c>
      <c r="AW8" s="4">
        <f>BA8+BE8+BI8</f>
        <v>0</v>
      </c>
      <c r="AX8" s="30">
        <v>0</v>
      </c>
      <c r="AY8" s="9"/>
      <c r="AZ8" s="4"/>
      <c r="BA8" s="4"/>
      <c r="BB8" s="30">
        <v>0</v>
      </c>
      <c r="BC8" s="9"/>
      <c r="BD8" s="4"/>
      <c r="BE8" s="4"/>
      <c r="BF8" s="30">
        <v>0</v>
      </c>
      <c r="BG8" s="9"/>
      <c r="BH8" s="4"/>
      <c r="BI8" s="4"/>
      <c r="BJ8" s="31"/>
      <c r="BK8" s="32">
        <f t="shared" si="7"/>
        <v>0</v>
      </c>
      <c r="BL8" s="32">
        <f t="shared" si="7"/>
        <v>0</v>
      </c>
      <c r="BM8" s="4">
        <v>0</v>
      </c>
      <c r="BN8" s="4">
        <f>BR8+BV8+BZ8</f>
        <v>0</v>
      </c>
      <c r="BO8" s="9">
        <v>0</v>
      </c>
      <c r="BP8" s="9"/>
      <c r="BQ8" s="5"/>
      <c r="BR8" s="5"/>
      <c r="BS8" s="9"/>
      <c r="BT8" s="9"/>
      <c r="BU8" s="5"/>
      <c r="BV8" s="5"/>
      <c r="BW8" s="9">
        <v>0</v>
      </c>
      <c r="BX8" s="9"/>
      <c r="BY8" s="5"/>
      <c r="BZ8" s="5"/>
      <c r="CA8" s="27"/>
    </row>
    <row r="9" spans="1:79" s="28" customFormat="1" ht="42" customHeight="1" x14ac:dyDescent="0.2">
      <c r="A9" s="22" t="s">
        <v>15</v>
      </c>
      <c r="B9" s="23" t="s">
        <v>16</v>
      </c>
      <c r="C9" s="10">
        <v>6000000</v>
      </c>
      <c r="D9" s="10">
        <v>5823900</v>
      </c>
      <c r="E9" s="10">
        <f>SUM(E10:E11)</f>
        <v>5823900</v>
      </c>
      <c r="F9" s="25">
        <f>K9+AB9+AS9+BJ9</f>
        <v>5823900</v>
      </c>
      <c r="G9" s="26">
        <f>SUM(G10:G11)</f>
        <v>5823844.3599999994</v>
      </c>
      <c r="H9" s="26">
        <f>SUM(H10:H11)</f>
        <v>5823844.3599999994</v>
      </c>
      <c r="I9" s="1">
        <f>SUM(I10:I11)</f>
        <v>5131</v>
      </c>
      <c r="J9" s="1">
        <f>SUM(J10:J11)</f>
        <v>56586</v>
      </c>
      <c r="K9" s="10">
        <v>1440000</v>
      </c>
      <c r="L9" s="26">
        <f t="shared" ref="L9:AA9" si="8">SUM(L10:L11)</f>
        <v>1083363.6200000001</v>
      </c>
      <c r="M9" s="26">
        <f t="shared" si="8"/>
        <v>1083363.6199999999</v>
      </c>
      <c r="N9" s="1">
        <f t="shared" si="8"/>
        <v>3791</v>
      </c>
      <c r="O9" s="1">
        <f t="shared" si="8"/>
        <v>10461</v>
      </c>
      <c r="P9" s="26">
        <f t="shared" si="8"/>
        <v>213678.36</v>
      </c>
      <c r="Q9" s="26">
        <f t="shared" si="8"/>
        <v>191175.27</v>
      </c>
      <c r="R9" s="1">
        <f t="shared" si="8"/>
        <v>908</v>
      </c>
      <c r="S9" s="1">
        <f t="shared" si="8"/>
        <v>1291</v>
      </c>
      <c r="T9" s="26">
        <f t="shared" si="8"/>
        <v>427277.02</v>
      </c>
      <c r="U9" s="26">
        <f t="shared" si="8"/>
        <v>217864.69999999998</v>
      </c>
      <c r="V9" s="1">
        <f t="shared" si="8"/>
        <v>3279</v>
      </c>
      <c r="W9" s="1">
        <f t="shared" si="8"/>
        <v>4692</v>
      </c>
      <c r="X9" s="26">
        <f t="shared" si="8"/>
        <v>442408.24</v>
      </c>
      <c r="Y9" s="26">
        <f t="shared" si="8"/>
        <v>674323.65</v>
      </c>
      <c r="Z9" s="1">
        <f t="shared" si="8"/>
        <v>3267</v>
      </c>
      <c r="AA9" s="1">
        <f t="shared" si="8"/>
        <v>4478</v>
      </c>
      <c r="AB9" s="10">
        <v>1520000</v>
      </c>
      <c r="AC9" s="26">
        <f t="shared" ref="AC9:AR9" si="9">SUM(AC10:AC11)</f>
        <v>1435854.22</v>
      </c>
      <c r="AD9" s="26">
        <f t="shared" si="9"/>
        <v>1435854.22</v>
      </c>
      <c r="AE9" s="1">
        <f t="shared" si="9"/>
        <v>3977</v>
      </c>
      <c r="AF9" s="1">
        <f t="shared" si="9"/>
        <v>13783</v>
      </c>
      <c r="AG9" s="26">
        <f t="shared" si="9"/>
        <v>492732.47</v>
      </c>
      <c r="AH9" s="10">
        <f t="shared" si="9"/>
        <v>492732.47</v>
      </c>
      <c r="AI9" s="1">
        <f t="shared" si="9"/>
        <v>3162</v>
      </c>
      <c r="AJ9" s="1">
        <f t="shared" si="9"/>
        <v>4470</v>
      </c>
      <c r="AK9" s="26">
        <f t="shared" si="9"/>
        <v>490019.02</v>
      </c>
      <c r="AL9" s="10">
        <f t="shared" si="9"/>
        <v>490019.02</v>
      </c>
      <c r="AM9" s="1">
        <f t="shared" si="9"/>
        <v>3325</v>
      </c>
      <c r="AN9" s="1">
        <f t="shared" si="9"/>
        <v>4662</v>
      </c>
      <c r="AO9" s="26">
        <f t="shared" si="9"/>
        <v>453102.73</v>
      </c>
      <c r="AP9" s="10">
        <f t="shared" si="9"/>
        <v>453102.73</v>
      </c>
      <c r="AQ9" s="1">
        <f t="shared" si="9"/>
        <v>3307</v>
      </c>
      <c r="AR9" s="1">
        <f t="shared" si="9"/>
        <v>4651</v>
      </c>
      <c r="AS9" s="10">
        <v>1490000</v>
      </c>
      <c r="AT9" s="26">
        <f t="shared" ref="AT9:BZ9" si="10">SUM(AT10:AT11)</f>
        <v>1514062.52</v>
      </c>
      <c r="AU9" s="26">
        <f t="shared" si="10"/>
        <v>1493587.69</v>
      </c>
      <c r="AV9" s="1">
        <f t="shared" si="10"/>
        <v>4071</v>
      </c>
      <c r="AW9" s="1">
        <f t="shared" si="10"/>
        <v>14108</v>
      </c>
      <c r="AX9" s="26">
        <f t="shared" si="10"/>
        <v>604443.34</v>
      </c>
      <c r="AY9" s="10">
        <f t="shared" si="10"/>
        <v>317077.69</v>
      </c>
      <c r="AZ9" s="1">
        <f t="shared" si="10"/>
        <v>3416</v>
      </c>
      <c r="BA9" s="1">
        <f t="shared" si="10"/>
        <v>4824</v>
      </c>
      <c r="BB9" s="26">
        <f t="shared" si="10"/>
        <v>457333.44</v>
      </c>
      <c r="BC9" s="10">
        <f t="shared" si="10"/>
        <v>744699.09</v>
      </c>
      <c r="BD9" s="1">
        <f t="shared" si="10"/>
        <v>3331</v>
      </c>
      <c r="BE9" s="1">
        <f t="shared" si="10"/>
        <v>4540</v>
      </c>
      <c r="BF9" s="26">
        <f t="shared" si="10"/>
        <v>452285.74</v>
      </c>
      <c r="BG9" s="10">
        <f t="shared" si="10"/>
        <v>431810.91000000003</v>
      </c>
      <c r="BH9" s="1">
        <f t="shared" si="10"/>
        <v>3367</v>
      </c>
      <c r="BI9" s="1">
        <f t="shared" si="10"/>
        <v>4744</v>
      </c>
      <c r="BJ9" s="10">
        <v>1373900</v>
      </c>
      <c r="BK9" s="26">
        <f t="shared" si="10"/>
        <v>1790564</v>
      </c>
      <c r="BL9" s="26">
        <f t="shared" si="10"/>
        <v>1811038.83</v>
      </c>
      <c r="BM9" s="1">
        <f>SUM(BM10:BM11)</f>
        <v>4323</v>
      </c>
      <c r="BN9" s="1">
        <f>SUM(BN10:BN11)</f>
        <v>18234</v>
      </c>
      <c r="BO9" s="10">
        <f t="shared" si="10"/>
        <v>681205.67</v>
      </c>
      <c r="BP9" s="10">
        <f t="shared" si="10"/>
        <v>525827.26</v>
      </c>
      <c r="BQ9" s="2">
        <f t="shared" si="10"/>
        <v>3754</v>
      </c>
      <c r="BR9" s="2">
        <f t="shared" si="10"/>
        <v>8071</v>
      </c>
      <c r="BS9" s="10">
        <f t="shared" si="10"/>
        <v>331086.08999999997</v>
      </c>
      <c r="BT9" s="10">
        <f t="shared" si="10"/>
        <v>506939.33</v>
      </c>
      <c r="BU9" s="2">
        <f>SUM(BU10:BU11)</f>
        <v>1039</v>
      </c>
      <c r="BV9" s="2">
        <f>SUM(BV10:BV11)</f>
        <v>1390</v>
      </c>
      <c r="BW9" s="10">
        <f t="shared" si="10"/>
        <v>778272.24</v>
      </c>
      <c r="BX9" s="10">
        <f t="shared" si="10"/>
        <v>778272.24</v>
      </c>
      <c r="BY9" s="2">
        <f t="shared" si="10"/>
        <v>3872</v>
      </c>
      <c r="BZ9" s="2">
        <f t="shared" si="10"/>
        <v>8773</v>
      </c>
      <c r="CA9" s="27"/>
    </row>
    <row r="10" spans="1:79" s="35" customFormat="1" ht="42" customHeight="1" x14ac:dyDescent="0.25">
      <c r="A10" s="33"/>
      <c r="B10" s="11" t="s">
        <v>106</v>
      </c>
      <c r="C10" s="9"/>
      <c r="D10" s="9"/>
      <c r="E10" s="9">
        <v>3144300</v>
      </c>
      <c r="F10" s="30"/>
      <c r="G10" s="30">
        <f>L10+AC10+AT10+BK10</f>
        <v>3144298.38</v>
      </c>
      <c r="H10" s="30">
        <f>M10+AD10+AU10+BL10</f>
        <v>3144298.38</v>
      </c>
      <c r="I10" s="4">
        <v>4561</v>
      </c>
      <c r="J10" s="4">
        <f>O10+AF10+AW10+BN10</f>
        <v>55755</v>
      </c>
      <c r="K10" s="31"/>
      <c r="L10" s="32">
        <f>P10+T10+X10</f>
        <v>571258.18999999994</v>
      </c>
      <c r="M10" s="32">
        <f>Q10+U10+Y10</f>
        <v>571258.18999999994</v>
      </c>
      <c r="N10" s="4">
        <v>3635</v>
      </c>
      <c r="O10" s="4">
        <f>S10+W10+AA10</f>
        <v>10293</v>
      </c>
      <c r="P10" s="30">
        <v>97385.98</v>
      </c>
      <c r="Q10" s="30">
        <v>97385.98</v>
      </c>
      <c r="R10" s="4">
        <v>875</v>
      </c>
      <c r="S10" s="4">
        <v>1258</v>
      </c>
      <c r="T10" s="30">
        <v>237754.11</v>
      </c>
      <c r="U10" s="30">
        <v>83481.679999999993</v>
      </c>
      <c r="V10" s="4">
        <v>3212</v>
      </c>
      <c r="W10" s="4">
        <v>4625</v>
      </c>
      <c r="X10" s="30">
        <v>236118.1</v>
      </c>
      <c r="Y10" s="30">
        <v>390390.53</v>
      </c>
      <c r="Z10" s="4">
        <v>3199</v>
      </c>
      <c r="AA10" s="4">
        <v>4410</v>
      </c>
      <c r="AB10" s="31"/>
      <c r="AC10" s="32">
        <f>AG10+AK10+AO10</f>
        <v>801470.71</v>
      </c>
      <c r="AD10" s="32">
        <f>AH10+AL10+AP10</f>
        <v>801470.71</v>
      </c>
      <c r="AE10" s="4">
        <v>3801</v>
      </c>
      <c r="AF10" s="4">
        <f>AJ10+AN10+AR10</f>
        <v>13593</v>
      </c>
      <c r="AG10" s="30">
        <v>260212.87</v>
      </c>
      <c r="AH10" s="9">
        <v>260212.87</v>
      </c>
      <c r="AI10" s="4">
        <v>3096</v>
      </c>
      <c r="AJ10" s="4">
        <v>4403</v>
      </c>
      <c r="AK10" s="30">
        <v>264473.34999999998</v>
      </c>
      <c r="AL10" s="9">
        <v>264473.34999999998</v>
      </c>
      <c r="AM10" s="4">
        <v>3254</v>
      </c>
      <c r="AN10" s="4">
        <v>4591</v>
      </c>
      <c r="AO10" s="30">
        <v>276784.49</v>
      </c>
      <c r="AP10" s="9">
        <v>276784.49</v>
      </c>
      <c r="AQ10" s="4">
        <v>3257</v>
      </c>
      <c r="AR10" s="4">
        <v>4599</v>
      </c>
      <c r="AS10" s="31"/>
      <c r="AT10" s="32">
        <f>AX10+BB10+BF10</f>
        <v>763218.66</v>
      </c>
      <c r="AU10" s="32">
        <f>AY10+BC10+BG10</f>
        <v>763218.66</v>
      </c>
      <c r="AV10" s="4">
        <v>3876</v>
      </c>
      <c r="AW10" s="4">
        <f>BA10+BE10+BI10</f>
        <v>13888</v>
      </c>
      <c r="AX10" s="30">
        <v>274875.87</v>
      </c>
      <c r="AY10" s="9">
        <v>90354.58</v>
      </c>
      <c r="AZ10" s="4">
        <v>3320</v>
      </c>
      <c r="BA10" s="4">
        <v>4726</v>
      </c>
      <c r="BB10" s="30">
        <v>242088.07</v>
      </c>
      <c r="BC10" s="9">
        <v>426609.36</v>
      </c>
      <c r="BD10" s="4">
        <v>3272</v>
      </c>
      <c r="BE10" s="4">
        <v>4481</v>
      </c>
      <c r="BF10" s="30">
        <v>246254.72</v>
      </c>
      <c r="BG10" s="9">
        <v>246254.72</v>
      </c>
      <c r="BH10" s="4">
        <v>3304</v>
      </c>
      <c r="BI10" s="4">
        <v>4681</v>
      </c>
      <c r="BJ10" s="31"/>
      <c r="BK10" s="32">
        <f>BO10+BS10+BW10</f>
        <v>1008350.8200000001</v>
      </c>
      <c r="BL10" s="32">
        <f>BP10+BT10+BX10</f>
        <v>1008350.8200000001</v>
      </c>
      <c r="BM10" s="4">
        <v>4100</v>
      </c>
      <c r="BN10" s="4">
        <f>BR10+BV10+BZ10</f>
        <v>17981</v>
      </c>
      <c r="BO10" s="9">
        <v>446857.13</v>
      </c>
      <c r="BP10" s="9">
        <v>271003.89</v>
      </c>
      <c r="BQ10" s="5">
        <v>3684</v>
      </c>
      <c r="BR10" s="5">
        <v>8000</v>
      </c>
      <c r="BS10" s="9">
        <v>95022.29</v>
      </c>
      <c r="BT10" s="9">
        <v>270875.53000000003</v>
      </c>
      <c r="BU10" s="5">
        <v>958</v>
      </c>
      <c r="BV10" s="5">
        <v>1308</v>
      </c>
      <c r="BW10" s="9">
        <v>466471.4</v>
      </c>
      <c r="BX10" s="9">
        <v>466471.4</v>
      </c>
      <c r="BY10" s="5">
        <v>3776</v>
      </c>
      <c r="BZ10" s="5">
        <v>8673</v>
      </c>
      <c r="CA10" s="27"/>
    </row>
    <row r="11" spans="1:79" s="35" customFormat="1" ht="42" customHeight="1" x14ac:dyDescent="0.25">
      <c r="A11" s="33"/>
      <c r="B11" s="11" t="s">
        <v>17</v>
      </c>
      <c r="C11" s="9"/>
      <c r="D11" s="9"/>
      <c r="E11" s="9">
        <v>2679600</v>
      </c>
      <c r="F11" s="30"/>
      <c r="G11" s="30">
        <f>L11+AC11+AT11+BK11</f>
        <v>2679545.9799999995</v>
      </c>
      <c r="H11" s="30">
        <f>M11+AD11+AU11+BL11</f>
        <v>2679545.98</v>
      </c>
      <c r="I11" s="4">
        <v>570</v>
      </c>
      <c r="J11" s="4">
        <f>O11+AF11+AW11+BN11</f>
        <v>831</v>
      </c>
      <c r="K11" s="31"/>
      <c r="L11" s="32">
        <f>P11+T11+X11</f>
        <v>512105.43000000005</v>
      </c>
      <c r="M11" s="32">
        <f>Q11+U11+Y11</f>
        <v>512105.43</v>
      </c>
      <c r="N11" s="4">
        <v>156</v>
      </c>
      <c r="O11" s="4">
        <f>S11+W11+AA11</f>
        <v>168</v>
      </c>
      <c r="P11" s="30">
        <v>116292.38</v>
      </c>
      <c r="Q11" s="30">
        <v>93789.29</v>
      </c>
      <c r="R11" s="4">
        <v>33</v>
      </c>
      <c r="S11" s="4">
        <v>33</v>
      </c>
      <c r="T11" s="30">
        <v>189522.91</v>
      </c>
      <c r="U11" s="30">
        <v>134383.01999999999</v>
      </c>
      <c r="V11" s="4">
        <v>67</v>
      </c>
      <c r="W11" s="4">
        <v>67</v>
      </c>
      <c r="X11" s="30">
        <v>206290.14</v>
      </c>
      <c r="Y11" s="30">
        <v>283933.12</v>
      </c>
      <c r="Z11" s="4">
        <v>68</v>
      </c>
      <c r="AA11" s="4">
        <v>68</v>
      </c>
      <c r="AB11" s="31"/>
      <c r="AC11" s="32">
        <f>AG11+AK11+AO11</f>
        <v>634383.51</v>
      </c>
      <c r="AD11" s="32">
        <f>AH11+AL11+AP11</f>
        <v>634383.51</v>
      </c>
      <c r="AE11" s="4">
        <v>176</v>
      </c>
      <c r="AF11" s="4">
        <f>AJ11+AN11+AR11</f>
        <v>190</v>
      </c>
      <c r="AG11" s="30">
        <v>232519.6</v>
      </c>
      <c r="AH11" s="9">
        <v>232519.6</v>
      </c>
      <c r="AI11" s="4">
        <v>66</v>
      </c>
      <c r="AJ11" s="4">
        <v>67</v>
      </c>
      <c r="AK11" s="30">
        <v>225545.67</v>
      </c>
      <c r="AL11" s="9">
        <v>225545.67</v>
      </c>
      <c r="AM11" s="4">
        <v>71</v>
      </c>
      <c r="AN11" s="4">
        <v>71</v>
      </c>
      <c r="AO11" s="30">
        <v>176318.24</v>
      </c>
      <c r="AP11" s="9">
        <v>176318.24</v>
      </c>
      <c r="AQ11" s="4">
        <v>50</v>
      </c>
      <c r="AR11" s="4">
        <v>52</v>
      </c>
      <c r="AS11" s="31"/>
      <c r="AT11" s="32">
        <f>AX11+BB11+BF11</f>
        <v>750843.86</v>
      </c>
      <c r="AU11" s="32">
        <f>AY11+BC11+BG11</f>
        <v>730369.03</v>
      </c>
      <c r="AV11" s="4">
        <v>195</v>
      </c>
      <c r="AW11" s="4">
        <f>BA11+BE11+BI11</f>
        <v>220</v>
      </c>
      <c r="AX11" s="30">
        <v>329567.46999999997</v>
      </c>
      <c r="AY11" s="9">
        <v>226723.11</v>
      </c>
      <c r="AZ11" s="4">
        <v>96</v>
      </c>
      <c r="BA11" s="4">
        <v>98</v>
      </c>
      <c r="BB11" s="30">
        <v>215245.37</v>
      </c>
      <c r="BC11" s="9">
        <v>318089.73</v>
      </c>
      <c r="BD11" s="4">
        <v>59</v>
      </c>
      <c r="BE11" s="4">
        <v>59</v>
      </c>
      <c r="BF11" s="30">
        <v>206031.02</v>
      </c>
      <c r="BG11" s="9">
        <v>185556.19</v>
      </c>
      <c r="BH11" s="4">
        <v>63</v>
      </c>
      <c r="BI11" s="4">
        <v>63</v>
      </c>
      <c r="BJ11" s="31"/>
      <c r="BK11" s="32">
        <f>BO11+BS11+BW11</f>
        <v>782213.17999999993</v>
      </c>
      <c r="BL11" s="32">
        <f>BP11+BT11+BX11</f>
        <v>802688.01</v>
      </c>
      <c r="BM11" s="4">
        <v>223</v>
      </c>
      <c r="BN11" s="4">
        <f>BR11+BV11+BZ11</f>
        <v>253</v>
      </c>
      <c r="BO11" s="9">
        <v>234348.54</v>
      </c>
      <c r="BP11" s="9">
        <v>254823.37</v>
      </c>
      <c r="BQ11" s="5">
        <v>70</v>
      </c>
      <c r="BR11" s="5">
        <v>71</v>
      </c>
      <c r="BS11" s="9">
        <v>236063.8</v>
      </c>
      <c r="BT11" s="9">
        <v>236063.8</v>
      </c>
      <c r="BU11" s="5">
        <v>81</v>
      </c>
      <c r="BV11" s="5">
        <v>82</v>
      </c>
      <c r="BW11" s="9">
        <v>311800.84000000003</v>
      </c>
      <c r="BX11" s="9">
        <v>311800.84000000003</v>
      </c>
      <c r="BY11" s="5">
        <v>96</v>
      </c>
      <c r="BZ11" s="5">
        <v>100</v>
      </c>
      <c r="CA11" s="27"/>
    </row>
    <row r="12" spans="1:79" s="28" customFormat="1" ht="42" customHeight="1" x14ac:dyDescent="0.2">
      <c r="A12" s="22" t="s">
        <v>18</v>
      </c>
      <c r="B12" s="23" t="s">
        <v>19</v>
      </c>
      <c r="C12" s="10">
        <v>7526000</v>
      </c>
      <c r="D12" s="10">
        <v>5686600</v>
      </c>
      <c r="E12" s="10">
        <f>SUM(E13:E19)</f>
        <v>5686600</v>
      </c>
      <c r="F12" s="25">
        <f>K12+AB12+AS12+BJ12</f>
        <v>5686600</v>
      </c>
      <c r="G12" s="26">
        <f>SUM(G13:G19)</f>
        <v>5613279.9100000001</v>
      </c>
      <c r="H12" s="26">
        <f>SUM(H13:H19)</f>
        <v>5686307.0099999998</v>
      </c>
      <c r="I12" s="6">
        <f>SUM(I13:I19)</f>
        <v>114595</v>
      </c>
      <c r="J12" s="6">
        <f>SUM(J13:J19)</f>
        <v>236971</v>
      </c>
      <c r="K12" s="10">
        <v>1337000</v>
      </c>
      <c r="L12" s="26">
        <f t="shared" ref="L12:AA12" si="11">SUM(L13:L19)</f>
        <v>927166.47</v>
      </c>
      <c r="M12" s="26">
        <f t="shared" si="11"/>
        <v>834603.33</v>
      </c>
      <c r="N12" s="6">
        <f t="shared" si="11"/>
        <v>43822</v>
      </c>
      <c r="O12" s="6">
        <f t="shared" si="11"/>
        <v>51206</v>
      </c>
      <c r="P12" s="26">
        <f t="shared" si="11"/>
        <v>294629.01</v>
      </c>
      <c r="Q12" s="26">
        <f t="shared" si="11"/>
        <v>139961.01</v>
      </c>
      <c r="R12" s="6">
        <f t="shared" si="11"/>
        <v>17672</v>
      </c>
      <c r="S12" s="6">
        <f t="shared" si="11"/>
        <v>17975</v>
      </c>
      <c r="T12" s="26">
        <f t="shared" si="11"/>
        <v>281289.13</v>
      </c>
      <c r="U12" s="26">
        <f t="shared" si="11"/>
        <v>313375.49</v>
      </c>
      <c r="V12" s="6">
        <f t="shared" si="11"/>
        <v>17122</v>
      </c>
      <c r="W12" s="6">
        <f t="shared" si="11"/>
        <v>17267</v>
      </c>
      <c r="X12" s="26">
        <f t="shared" si="11"/>
        <v>351248.32999999996</v>
      </c>
      <c r="Y12" s="26">
        <f t="shared" si="11"/>
        <v>381266.82999999996</v>
      </c>
      <c r="Z12" s="6">
        <f t="shared" si="11"/>
        <v>15867</v>
      </c>
      <c r="AA12" s="6">
        <f t="shared" si="11"/>
        <v>15964</v>
      </c>
      <c r="AB12" s="10">
        <v>2146000</v>
      </c>
      <c r="AC12" s="26">
        <f t="shared" ref="AC12:AR12" si="12">SUM(AC13:AC19)</f>
        <v>1381049.99</v>
      </c>
      <c r="AD12" s="26">
        <f t="shared" si="12"/>
        <v>1401544.85</v>
      </c>
      <c r="AE12" s="6">
        <f t="shared" si="12"/>
        <v>41650</v>
      </c>
      <c r="AF12" s="6">
        <f t="shared" si="12"/>
        <v>52254</v>
      </c>
      <c r="AG12" s="26">
        <f t="shared" si="12"/>
        <v>454614.2</v>
      </c>
      <c r="AH12" s="10">
        <f t="shared" si="12"/>
        <v>423732.56</v>
      </c>
      <c r="AI12" s="6">
        <f>SUM(AI13:AI19)</f>
        <v>17368</v>
      </c>
      <c r="AJ12" s="6">
        <f t="shared" si="12"/>
        <v>17671</v>
      </c>
      <c r="AK12" s="26">
        <f t="shared" si="12"/>
        <v>437841.9</v>
      </c>
      <c r="AL12" s="10">
        <f t="shared" si="12"/>
        <v>436379.4</v>
      </c>
      <c r="AM12" s="6">
        <f t="shared" si="12"/>
        <v>15939</v>
      </c>
      <c r="AN12" s="6">
        <f t="shared" si="12"/>
        <v>16065</v>
      </c>
      <c r="AO12" s="26">
        <f>SUM(AO13:AO19)</f>
        <v>488593.88999999996</v>
      </c>
      <c r="AP12" s="10">
        <f>SUM(AP13:AP19)</f>
        <v>541432.89</v>
      </c>
      <c r="AQ12" s="6">
        <f t="shared" si="12"/>
        <v>18324</v>
      </c>
      <c r="AR12" s="6">
        <f t="shared" si="12"/>
        <v>18518</v>
      </c>
      <c r="AS12" s="10">
        <v>625900</v>
      </c>
      <c r="AT12" s="26">
        <f t="shared" ref="AT12:BI12" si="13">SUM(AT13:AT19)</f>
        <v>1618385.46</v>
      </c>
      <c r="AU12" s="26">
        <f t="shared" si="13"/>
        <v>1459300.8399999999</v>
      </c>
      <c r="AV12" s="6">
        <f t="shared" si="13"/>
        <v>43413</v>
      </c>
      <c r="AW12" s="6">
        <f>SUM(AW13:AW19)</f>
        <v>63496</v>
      </c>
      <c r="AX12" s="26">
        <f t="shared" si="13"/>
        <v>504135.7</v>
      </c>
      <c r="AY12" s="10">
        <f t="shared" si="13"/>
        <v>398691.7</v>
      </c>
      <c r="AZ12" s="6">
        <f t="shared" si="13"/>
        <v>19172</v>
      </c>
      <c r="BA12" s="6">
        <f t="shared" si="13"/>
        <v>19365</v>
      </c>
      <c r="BB12" s="26">
        <f t="shared" si="13"/>
        <v>560655.49</v>
      </c>
      <c r="BC12" s="10">
        <f t="shared" si="13"/>
        <v>685509.49000000011</v>
      </c>
      <c r="BD12" s="6">
        <f t="shared" si="13"/>
        <v>21081</v>
      </c>
      <c r="BE12" s="6">
        <f t="shared" si="13"/>
        <v>21614</v>
      </c>
      <c r="BF12" s="26">
        <f t="shared" si="13"/>
        <v>553594.27</v>
      </c>
      <c r="BG12" s="10">
        <f t="shared" si="13"/>
        <v>375099.65</v>
      </c>
      <c r="BH12" s="6">
        <f t="shared" si="13"/>
        <v>20639</v>
      </c>
      <c r="BI12" s="6">
        <f t="shared" si="13"/>
        <v>22517</v>
      </c>
      <c r="BJ12" s="10">
        <v>1577700</v>
      </c>
      <c r="BK12" s="26">
        <f t="shared" ref="BK12:BZ12" si="14">SUM(BK13:BK19)</f>
        <v>1686677.99</v>
      </c>
      <c r="BL12" s="26">
        <f t="shared" si="14"/>
        <v>1990857.99</v>
      </c>
      <c r="BM12" s="6">
        <f t="shared" si="14"/>
        <v>42301</v>
      </c>
      <c r="BN12" s="6">
        <f t="shared" si="14"/>
        <v>70015</v>
      </c>
      <c r="BO12" s="10">
        <f t="shared" si="14"/>
        <v>544375.02</v>
      </c>
      <c r="BP12" s="10">
        <f t="shared" si="14"/>
        <v>678769.02</v>
      </c>
      <c r="BQ12" s="7">
        <f t="shared" si="14"/>
        <v>20446</v>
      </c>
      <c r="BR12" s="7">
        <f t="shared" si="14"/>
        <v>22778</v>
      </c>
      <c r="BS12" s="10">
        <f t="shared" si="14"/>
        <v>589285.09</v>
      </c>
      <c r="BT12" s="10">
        <f t="shared" si="14"/>
        <v>527014.09000000008</v>
      </c>
      <c r="BU12" s="7">
        <f t="shared" si="14"/>
        <v>21788</v>
      </c>
      <c r="BV12" s="7">
        <f t="shared" si="14"/>
        <v>24748</v>
      </c>
      <c r="BW12" s="10">
        <f t="shared" si="14"/>
        <v>553017.88</v>
      </c>
      <c r="BX12" s="10">
        <f t="shared" si="14"/>
        <v>785074.88</v>
      </c>
      <c r="BY12" s="7">
        <f t="shared" si="14"/>
        <v>19972</v>
      </c>
      <c r="BZ12" s="7">
        <f t="shared" si="14"/>
        <v>22489</v>
      </c>
      <c r="CA12" s="27"/>
    </row>
    <row r="13" spans="1:79" s="35" customFormat="1" ht="42" customHeight="1" x14ac:dyDescent="0.25">
      <c r="A13" s="33"/>
      <c r="B13" s="3" t="s">
        <v>20</v>
      </c>
      <c r="C13" s="9"/>
      <c r="D13" s="9"/>
      <c r="E13" s="9">
        <f>4569500-33800</f>
        <v>4535700</v>
      </c>
      <c r="F13" s="30"/>
      <c r="G13" s="30">
        <f t="shared" ref="G13:H19" si="15">L13+AC13+AT13+BK13</f>
        <v>4535581.3</v>
      </c>
      <c r="H13" s="30">
        <f t="shared" si="15"/>
        <v>4535562.8</v>
      </c>
      <c r="I13" s="4">
        <v>60627</v>
      </c>
      <c r="J13" s="4">
        <f>O13+AF13+AW13+BN13</f>
        <v>181194</v>
      </c>
      <c r="K13" s="31"/>
      <c r="L13" s="32">
        <f t="shared" ref="L13:M19" si="16">P13+T13+X13</f>
        <v>666957</v>
      </c>
      <c r="M13" s="32">
        <f t="shared" si="16"/>
        <v>559499</v>
      </c>
      <c r="N13" s="4">
        <v>30280</v>
      </c>
      <c r="O13" s="4">
        <f>S13+W13+AA13</f>
        <v>37328</v>
      </c>
      <c r="P13" s="30">
        <v>206043</v>
      </c>
      <c r="Q13" s="30">
        <v>46875</v>
      </c>
      <c r="R13" s="4">
        <v>13134</v>
      </c>
      <c r="S13" s="4">
        <v>13416</v>
      </c>
      <c r="T13" s="30">
        <v>195861.5</v>
      </c>
      <c r="U13" s="30">
        <v>222053</v>
      </c>
      <c r="V13" s="4">
        <v>12396</v>
      </c>
      <c r="W13" s="4">
        <v>12526</v>
      </c>
      <c r="X13" s="30">
        <v>265052.5</v>
      </c>
      <c r="Y13" s="30">
        <v>290571</v>
      </c>
      <c r="Z13" s="4">
        <v>11305</v>
      </c>
      <c r="AA13" s="4">
        <v>11386</v>
      </c>
      <c r="AB13" s="5"/>
      <c r="AC13" s="4">
        <f t="shared" ref="AC13:AD19" si="17">AG13+AK13+AO13</f>
        <v>1116072.5</v>
      </c>
      <c r="AD13" s="4">
        <f t="shared" si="17"/>
        <v>1121672.5</v>
      </c>
      <c r="AE13" s="4">
        <v>29271</v>
      </c>
      <c r="AF13" s="4">
        <f>AJ13+AN13+AR13</f>
        <v>39548</v>
      </c>
      <c r="AG13" s="30">
        <v>361982</v>
      </c>
      <c r="AH13" s="9">
        <v>325205.5</v>
      </c>
      <c r="AI13" s="4">
        <v>12940</v>
      </c>
      <c r="AJ13" s="4">
        <v>13224</v>
      </c>
      <c r="AK13" s="30">
        <v>353227</v>
      </c>
      <c r="AL13" s="9">
        <f>343298+3966.5</f>
        <v>347264.5</v>
      </c>
      <c r="AM13" s="4">
        <v>12031</v>
      </c>
      <c r="AN13" s="4">
        <v>12150</v>
      </c>
      <c r="AO13" s="30">
        <v>400863.5</v>
      </c>
      <c r="AP13" s="9">
        <f>453169-3966.5</f>
        <v>449202.5</v>
      </c>
      <c r="AQ13" s="4">
        <v>13999</v>
      </c>
      <c r="AR13" s="4">
        <v>14174</v>
      </c>
      <c r="AS13" s="31"/>
      <c r="AT13" s="4">
        <f t="shared" ref="AT13:AU19" si="18">AX13+BB13+BF13</f>
        <v>1334720.8</v>
      </c>
      <c r="AU13" s="4">
        <f t="shared" si="18"/>
        <v>1145880.3</v>
      </c>
      <c r="AV13" s="4">
        <v>29024</v>
      </c>
      <c r="AW13" s="4">
        <f t="shared" ref="AW13:AW19" si="19">BA13+BE13+BI13</f>
        <v>48755</v>
      </c>
      <c r="AX13" s="30">
        <v>411168</v>
      </c>
      <c r="AY13" s="9">
        <v>301224</v>
      </c>
      <c r="AZ13" s="4">
        <v>14591</v>
      </c>
      <c r="BA13" s="4">
        <v>14771</v>
      </c>
      <c r="BB13" s="30">
        <v>465398.8</v>
      </c>
      <c r="BC13" s="9">
        <v>574502.80000000005</v>
      </c>
      <c r="BD13" s="4">
        <v>16051</v>
      </c>
      <c r="BE13" s="4">
        <v>16568</v>
      </c>
      <c r="BF13" s="30">
        <v>458154</v>
      </c>
      <c r="BG13" s="9">
        <v>270153.5</v>
      </c>
      <c r="BH13" s="4">
        <v>15558</v>
      </c>
      <c r="BI13" s="4">
        <v>17416</v>
      </c>
      <c r="BJ13" s="31"/>
      <c r="BK13" s="32">
        <f>BO13+BS13+BW13</f>
        <v>1417831</v>
      </c>
      <c r="BL13" s="32">
        <f t="shared" ref="BK13:BL19" si="20">BP13+BT13+BX13</f>
        <v>1708511</v>
      </c>
      <c r="BM13" s="4">
        <v>28191</v>
      </c>
      <c r="BN13" s="4">
        <f>BR13+BV13+BZ13</f>
        <v>55563</v>
      </c>
      <c r="BO13" s="9">
        <v>453036</v>
      </c>
      <c r="BP13" s="9">
        <v>582930</v>
      </c>
      <c r="BQ13" s="5">
        <v>15733</v>
      </c>
      <c r="BR13" s="5">
        <v>18045</v>
      </c>
      <c r="BS13" s="9">
        <v>492045</v>
      </c>
      <c r="BT13" s="9">
        <v>425274</v>
      </c>
      <c r="BU13" s="5">
        <v>16482</v>
      </c>
      <c r="BV13" s="5">
        <v>19425</v>
      </c>
      <c r="BW13" s="9">
        <v>472750</v>
      </c>
      <c r="BX13" s="9">
        <v>700307</v>
      </c>
      <c r="BY13" s="5">
        <v>15590</v>
      </c>
      <c r="BZ13" s="5">
        <v>18093</v>
      </c>
      <c r="CA13" s="27"/>
    </row>
    <row r="14" spans="1:79" s="35" customFormat="1" ht="42" customHeight="1" x14ac:dyDescent="0.25">
      <c r="A14" s="33"/>
      <c r="B14" s="3" t="s">
        <v>78</v>
      </c>
      <c r="C14" s="9"/>
      <c r="D14" s="9"/>
      <c r="E14" s="9">
        <v>33800</v>
      </c>
      <c r="F14" s="30"/>
      <c r="G14" s="30">
        <f t="shared" si="15"/>
        <v>33750</v>
      </c>
      <c r="H14" s="30">
        <f t="shared" si="15"/>
        <v>33750</v>
      </c>
      <c r="I14" s="4">
        <v>67</v>
      </c>
      <c r="J14" s="4">
        <f>O14+AF14+AW14+BN14</f>
        <v>96</v>
      </c>
      <c r="K14" s="31"/>
      <c r="L14" s="32">
        <f t="shared" si="16"/>
        <v>0</v>
      </c>
      <c r="M14" s="32">
        <f t="shared" si="16"/>
        <v>0</v>
      </c>
      <c r="N14" s="4">
        <v>0</v>
      </c>
      <c r="O14" s="4">
        <f>S14+W14+AA14</f>
        <v>0</v>
      </c>
      <c r="P14" s="30">
        <v>0</v>
      </c>
      <c r="Q14" s="30"/>
      <c r="R14" s="4">
        <v>0</v>
      </c>
      <c r="S14" s="4">
        <v>0</v>
      </c>
      <c r="T14" s="30">
        <v>0</v>
      </c>
      <c r="U14" s="30"/>
      <c r="V14" s="4">
        <v>0</v>
      </c>
      <c r="W14" s="4">
        <v>0</v>
      </c>
      <c r="X14" s="30">
        <v>0</v>
      </c>
      <c r="Y14" s="30"/>
      <c r="Z14" s="4">
        <v>0</v>
      </c>
      <c r="AA14" s="4">
        <v>0</v>
      </c>
      <c r="AB14" s="5"/>
      <c r="AC14" s="4">
        <f t="shared" si="17"/>
        <v>11250</v>
      </c>
      <c r="AD14" s="4">
        <f t="shared" si="17"/>
        <v>11250</v>
      </c>
      <c r="AE14" s="4">
        <v>23</v>
      </c>
      <c r="AF14" s="4">
        <f>AJ14+AN14+AR14</f>
        <v>32</v>
      </c>
      <c r="AG14" s="30">
        <v>3750</v>
      </c>
      <c r="AH14" s="9">
        <v>3750</v>
      </c>
      <c r="AI14" s="4">
        <v>4</v>
      </c>
      <c r="AJ14" s="4">
        <v>5</v>
      </c>
      <c r="AK14" s="30">
        <v>3750</v>
      </c>
      <c r="AL14" s="9">
        <v>3750</v>
      </c>
      <c r="AM14" s="4">
        <v>9</v>
      </c>
      <c r="AN14" s="4">
        <v>9</v>
      </c>
      <c r="AO14" s="30">
        <v>3750</v>
      </c>
      <c r="AP14" s="9">
        <v>3750</v>
      </c>
      <c r="AQ14" s="4">
        <v>16</v>
      </c>
      <c r="AR14" s="4">
        <v>18</v>
      </c>
      <c r="AS14" s="31"/>
      <c r="AT14" s="4">
        <f t="shared" si="18"/>
        <v>11250</v>
      </c>
      <c r="AU14" s="4">
        <f t="shared" si="18"/>
        <v>11250</v>
      </c>
      <c r="AV14" s="4">
        <v>31</v>
      </c>
      <c r="AW14" s="4">
        <f t="shared" si="19"/>
        <v>40</v>
      </c>
      <c r="AX14" s="30">
        <v>3750</v>
      </c>
      <c r="AY14" s="9">
        <v>3750</v>
      </c>
      <c r="AZ14" s="4">
        <v>13</v>
      </c>
      <c r="BA14" s="4">
        <v>14</v>
      </c>
      <c r="BB14" s="30">
        <v>3750</v>
      </c>
      <c r="BC14" s="9">
        <v>3750</v>
      </c>
      <c r="BD14" s="4">
        <v>15</v>
      </c>
      <c r="BE14" s="4">
        <v>15</v>
      </c>
      <c r="BF14" s="30">
        <v>3750</v>
      </c>
      <c r="BG14" s="9">
        <v>3750</v>
      </c>
      <c r="BH14" s="4">
        <v>10</v>
      </c>
      <c r="BI14" s="4">
        <v>11</v>
      </c>
      <c r="BJ14" s="31"/>
      <c r="BK14" s="32">
        <f>BO14+BS14+BW14</f>
        <v>11250</v>
      </c>
      <c r="BL14" s="32">
        <f t="shared" si="20"/>
        <v>11250</v>
      </c>
      <c r="BM14" s="4">
        <v>18</v>
      </c>
      <c r="BN14" s="4">
        <f>BR14+BV14+BZ14</f>
        <v>24</v>
      </c>
      <c r="BO14" s="9">
        <v>3750</v>
      </c>
      <c r="BP14" s="9">
        <v>3750</v>
      </c>
      <c r="BQ14" s="5">
        <v>6</v>
      </c>
      <c r="BR14" s="5">
        <v>6</v>
      </c>
      <c r="BS14" s="9">
        <v>3750</v>
      </c>
      <c r="BT14" s="9">
        <v>3750</v>
      </c>
      <c r="BU14" s="5">
        <v>8</v>
      </c>
      <c r="BV14" s="5">
        <v>9</v>
      </c>
      <c r="BW14" s="9">
        <v>3750</v>
      </c>
      <c r="BX14" s="9">
        <v>3750</v>
      </c>
      <c r="BY14" s="5">
        <v>9</v>
      </c>
      <c r="BZ14" s="5">
        <v>9</v>
      </c>
      <c r="CA14" s="27"/>
    </row>
    <row r="15" spans="1:79" s="35" customFormat="1" ht="42" customHeight="1" x14ac:dyDescent="0.25">
      <c r="A15" s="33"/>
      <c r="B15" s="11" t="s">
        <v>21</v>
      </c>
      <c r="C15" s="9"/>
      <c r="D15" s="9"/>
      <c r="E15" s="9">
        <v>361000</v>
      </c>
      <c r="F15" s="30"/>
      <c r="G15" s="30">
        <f t="shared" si="15"/>
        <v>360969.20999999996</v>
      </c>
      <c r="H15" s="30">
        <f t="shared" si="15"/>
        <v>360969.20999999996</v>
      </c>
      <c r="I15" s="4">
        <v>4078</v>
      </c>
      <c r="J15" s="4">
        <f>O15+AF15+AW15+BN15</f>
        <v>4167</v>
      </c>
      <c r="K15" s="31"/>
      <c r="L15" s="32">
        <f t="shared" si="16"/>
        <v>89362.069999999992</v>
      </c>
      <c r="M15" s="32">
        <f t="shared" si="16"/>
        <v>89362.069999999992</v>
      </c>
      <c r="N15" s="4">
        <v>953</v>
      </c>
      <c r="O15" s="4">
        <f>S15+W15+AA15</f>
        <v>973</v>
      </c>
      <c r="P15" s="30">
        <v>32684.61</v>
      </c>
      <c r="Q15" s="30">
        <v>32684.61</v>
      </c>
      <c r="R15" s="4">
        <v>314</v>
      </c>
      <c r="S15" s="4">
        <v>317</v>
      </c>
      <c r="T15" s="30">
        <v>26177.23</v>
      </c>
      <c r="U15" s="30">
        <v>26177.23</v>
      </c>
      <c r="V15" s="4">
        <v>315</v>
      </c>
      <c r="W15" s="4">
        <v>317</v>
      </c>
      <c r="X15" s="30">
        <v>30500.23</v>
      </c>
      <c r="Y15" s="30">
        <v>30500.23</v>
      </c>
      <c r="Z15" s="4">
        <v>337</v>
      </c>
      <c r="AA15" s="4">
        <v>339</v>
      </c>
      <c r="AB15" s="31"/>
      <c r="AC15" s="32">
        <f t="shared" si="17"/>
        <v>99691.290000000008</v>
      </c>
      <c r="AD15" s="32">
        <f t="shared" si="17"/>
        <v>99691.290000000008</v>
      </c>
      <c r="AE15" s="4">
        <v>1132</v>
      </c>
      <c r="AF15" s="4">
        <f>AJ15+AN15+AR15</f>
        <v>1149</v>
      </c>
      <c r="AG15" s="30">
        <v>34417.800000000003</v>
      </c>
      <c r="AH15" s="9">
        <v>34417.800000000003</v>
      </c>
      <c r="AI15" s="4">
        <v>361</v>
      </c>
      <c r="AJ15" s="4">
        <v>364</v>
      </c>
      <c r="AK15" s="30">
        <v>34293.699999999997</v>
      </c>
      <c r="AL15" s="9">
        <v>34293.699999999997</v>
      </c>
      <c r="AM15" s="4">
        <v>361</v>
      </c>
      <c r="AN15" s="4">
        <v>362</v>
      </c>
      <c r="AO15" s="30">
        <v>30979.79</v>
      </c>
      <c r="AP15" s="9">
        <v>30979.79</v>
      </c>
      <c r="AQ15" s="4">
        <v>421</v>
      </c>
      <c r="AR15" s="4">
        <v>423</v>
      </c>
      <c r="AS15" s="31"/>
      <c r="AT15" s="32">
        <f t="shared" si="18"/>
        <v>91981.459999999992</v>
      </c>
      <c r="AU15" s="32">
        <f t="shared" si="18"/>
        <v>91981.459999999992</v>
      </c>
      <c r="AV15" s="4">
        <v>1055</v>
      </c>
      <c r="AW15" s="4">
        <f t="shared" si="19"/>
        <v>1072</v>
      </c>
      <c r="AX15" s="30">
        <v>33445.5</v>
      </c>
      <c r="AY15" s="9">
        <v>33445.5</v>
      </c>
      <c r="AZ15" s="4">
        <v>395</v>
      </c>
      <c r="BA15" s="4">
        <v>396</v>
      </c>
      <c r="BB15" s="30">
        <v>28767.89</v>
      </c>
      <c r="BC15" s="9">
        <v>28767.89</v>
      </c>
      <c r="BD15" s="4">
        <v>347</v>
      </c>
      <c r="BE15" s="4">
        <v>349</v>
      </c>
      <c r="BF15" s="30">
        <v>29768.07</v>
      </c>
      <c r="BG15" s="9">
        <v>29768.07</v>
      </c>
      <c r="BH15" s="4">
        <v>324</v>
      </c>
      <c r="BI15" s="4">
        <v>327</v>
      </c>
      <c r="BJ15" s="31"/>
      <c r="BK15" s="32">
        <f t="shared" si="20"/>
        <v>79934.39</v>
      </c>
      <c r="BL15" s="32">
        <f t="shared" si="20"/>
        <v>79934.39</v>
      </c>
      <c r="BM15" s="4">
        <v>958</v>
      </c>
      <c r="BN15" s="4">
        <f>BR15+BV15+BZ15</f>
        <v>973</v>
      </c>
      <c r="BO15" s="9">
        <v>29019.62</v>
      </c>
      <c r="BP15" s="9">
        <v>29019.62</v>
      </c>
      <c r="BQ15" s="5">
        <v>333</v>
      </c>
      <c r="BR15" s="5">
        <v>334</v>
      </c>
      <c r="BS15" s="9">
        <v>29205.89</v>
      </c>
      <c r="BT15" s="9">
        <v>29205.89</v>
      </c>
      <c r="BU15" s="5">
        <v>335</v>
      </c>
      <c r="BV15" s="5">
        <v>337</v>
      </c>
      <c r="BW15" s="9">
        <v>21708.880000000001</v>
      </c>
      <c r="BX15" s="9">
        <v>21708.880000000001</v>
      </c>
      <c r="BY15" s="5">
        <v>302</v>
      </c>
      <c r="BZ15" s="5">
        <v>302</v>
      </c>
      <c r="CA15" s="27"/>
    </row>
    <row r="16" spans="1:79" s="35" customFormat="1" ht="42" customHeight="1" x14ac:dyDescent="0.25">
      <c r="A16" s="33"/>
      <c r="B16" s="11" t="s">
        <v>22</v>
      </c>
      <c r="C16" s="9"/>
      <c r="D16" s="9"/>
      <c r="E16" s="9">
        <v>683000</v>
      </c>
      <c r="F16" s="30"/>
      <c r="G16" s="30">
        <f t="shared" si="15"/>
        <v>682979.4</v>
      </c>
      <c r="H16" s="30">
        <f t="shared" si="15"/>
        <v>682979.4</v>
      </c>
      <c r="I16" s="4">
        <v>49823</v>
      </c>
      <c r="J16" s="4">
        <f>O16+AF16+AW16+BN16</f>
        <v>51514</v>
      </c>
      <c r="K16" s="31"/>
      <c r="L16" s="32">
        <f t="shared" si="16"/>
        <v>170847.4</v>
      </c>
      <c r="M16" s="32">
        <f t="shared" si="16"/>
        <v>170847.4</v>
      </c>
      <c r="N16" s="4">
        <v>12589</v>
      </c>
      <c r="O16" s="4">
        <f>S16+W16+AA16</f>
        <v>12905</v>
      </c>
      <c r="P16" s="30">
        <v>55901.4</v>
      </c>
      <c r="Q16" s="30">
        <v>55901.4</v>
      </c>
      <c r="R16" s="4">
        <v>4224</v>
      </c>
      <c r="S16" s="4">
        <v>4242</v>
      </c>
      <c r="T16" s="30">
        <v>59250.400000000001</v>
      </c>
      <c r="U16" s="30">
        <v>59250.400000000001</v>
      </c>
      <c r="V16" s="4">
        <v>4411</v>
      </c>
      <c r="W16" s="4">
        <v>4424</v>
      </c>
      <c r="X16" s="30">
        <v>55695.6</v>
      </c>
      <c r="Y16" s="30">
        <v>55695.6</v>
      </c>
      <c r="Z16" s="4">
        <v>4225</v>
      </c>
      <c r="AA16" s="4">
        <v>4239</v>
      </c>
      <c r="AB16" s="31"/>
      <c r="AC16" s="32">
        <f t="shared" si="17"/>
        <v>154036.20000000001</v>
      </c>
      <c r="AD16" s="32">
        <f t="shared" si="17"/>
        <v>154036.20000000001</v>
      </c>
      <c r="AE16" s="4">
        <v>11224</v>
      </c>
      <c r="AF16" s="4">
        <f>AJ16+AN16+AR16</f>
        <v>11525</v>
      </c>
      <c r="AG16" s="30">
        <v>54464.4</v>
      </c>
      <c r="AH16" s="9">
        <v>54464.4</v>
      </c>
      <c r="AI16" s="4">
        <v>4063</v>
      </c>
      <c r="AJ16" s="4">
        <v>4078</v>
      </c>
      <c r="AK16" s="30">
        <v>46571.199999999997</v>
      </c>
      <c r="AL16" s="9">
        <v>46571.199999999997</v>
      </c>
      <c r="AM16" s="4">
        <v>3538</v>
      </c>
      <c r="AN16" s="4">
        <v>3544</v>
      </c>
      <c r="AO16" s="30">
        <v>53000.6</v>
      </c>
      <c r="AP16" s="9">
        <v>53000.6</v>
      </c>
      <c r="AQ16" s="4">
        <v>3888</v>
      </c>
      <c r="AR16" s="4">
        <v>3903</v>
      </c>
      <c r="AS16" s="31"/>
      <c r="AT16" s="32">
        <f t="shared" si="18"/>
        <v>180433.2</v>
      </c>
      <c r="AU16" s="32">
        <f t="shared" si="18"/>
        <v>180433.2</v>
      </c>
      <c r="AV16" s="4">
        <v>13303</v>
      </c>
      <c r="AW16" s="4">
        <f t="shared" si="19"/>
        <v>13629</v>
      </c>
      <c r="AX16" s="30">
        <v>55772.2</v>
      </c>
      <c r="AY16" s="9">
        <v>55772.2</v>
      </c>
      <c r="AZ16" s="4">
        <v>4173</v>
      </c>
      <c r="BA16" s="4">
        <v>4184</v>
      </c>
      <c r="BB16" s="30">
        <v>62738.8</v>
      </c>
      <c r="BC16" s="9">
        <v>62738.8</v>
      </c>
      <c r="BD16" s="4">
        <v>4668</v>
      </c>
      <c r="BE16" s="4">
        <v>4682</v>
      </c>
      <c r="BF16" s="30">
        <v>61922.2</v>
      </c>
      <c r="BG16" s="9">
        <v>61922.2</v>
      </c>
      <c r="BH16" s="4">
        <v>4747</v>
      </c>
      <c r="BI16" s="4">
        <v>4763</v>
      </c>
      <c r="BJ16" s="31"/>
      <c r="BK16" s="32">
        <f t="shared" si="20"/>
        <v>177662.6</v>
      </c>
      <c r="BL16" s="32">
        <f t="shared" si="20"/>
        <v>177662.6</v>
      </c>
      <c r="BM16" s="4">
        <v>13134</v>
      </c>
      <c r="BN16" s="4">
        <f>BR16+BV16+BZ16</f>
        <v>13455</v>
      </c>
      <c r="BO16" s="9">
        <v>58569.4</v>
      </c>
      <c r="BP16" s="9">
        <v>58569.4</v>
      </c>
      <c r="BQ16" s="5">
        <v>4374</v>
      </c>
      <c r="BR16" s="5">
        <v>4393</v>
      </c>
      <c r="BS16" s="9">
        <v>64284.2</v>
      </c>
      <c r="BT16" s="9">
        <v>64284.2</v>
      </c>
      <c r="BU16" s="5">
        <v>4963</v>
      </c>
      <c r="BV16" s="5">
        <v>4977</v>
      </c>
      <c r="BW16" s="9">
        <v>54809</v>
      </c>
      <c r="BX16" s="9">
        <v>54809</v>
      </c>
      <c r="BY16" s="5">
        <v>4071</v>
      </c>
      <c r="BZ16" s="5">
        <v>4085</v>
      </c>
      <c r="CA16" s="27"/>
    </row>
    <row r="17" spans="1:79" s="35" customFormat="1" ht="42" customHeight="1" x14ac:dyDescent="0.25">
      <c r="A17" s="33"/>
      <c r="B17" s="11" t="s">
        <v>107</v>
      </c>
      <c r="C17" s="9"/>
      <c r="D17" s="9"/>
      <c r="E17" s="9">
        <v>19100</v>
      </c>
      <c r="F17" s="30"/>
      <c r="G17" s="30">
        <f t="shared" si="15"/>
        <v>0</v>
      </c>
      <c r="H17" s="30">
        <f t="shared" si="15"/>
        <v>19045.600000000002</v>
      </c>
      <c r="I17" s="4"/>
      <c r="J17" s="4"/>
      <c r="K17" s="31"/>
      <c r="L17" s="32">
        <f t="shared" si="16"/>
        <v>0</v>
      </c>
      <c r="M17" s="32">
        <f t="shared" si="16"/>
        <v>1394.86</v>
      </c>
      <c r="N17" s="4"/>
      <c r="O17" s="4"/>
      <c r="P17" s="30"/>
      <c r="Q17" s="30"/>
      <c r="R17" s="4"/>
      <c r="S17" s="4"/>
      <c r="T17" s="30"/>
      <c r="U17" s="30">
        <f>1394.86</f>
        <v>1394.86</v>
      </c>
      <c r="V17" s="4"/>
      <c r="W17" s="4"/>
      <c r="X17" s="30"/>
      <c r="Y17" s="30"/>
      <c r="Z17" s="4"/>
      <c r="AA17" s="4"/>
      <c r="AB17" s="31"/>
      <c r="AC17" s="32">
        <f t="shared" si="17"/>
        <v>0</v>
      </c>
      <c r="AD17" s="32">
        <f t="shared" si="17"/>
        <v>1394.86</v>
      </c>
      <c r="AE17" s="4"/>
      <c r="AF17" s="4"/>
      <c r="AG17" s="30"/>
      <c r="AH17" s="9">
        <v>1394.86</v>
      </c>
      <c r="AI17" s="4"/>
      <c r="AJ17" s="4"/>
      <c r="AK17" s="30"/>
      <c r="AL17" s="9"/>
      <c r="AM17" s="4"/>
      <c r="AN17" s="4"/>
      <c r="AO17" s="30"/>
      <c r="AP17" s="9"/>
      <c r="AQ17" s="4"/>
      <c r="AR17" s="4"/>
      <c r="AS17" s="31"/>
      <c r="AT17" s="32">
        <f t="shared" si="18"/>
        <v>0</v>
      </c>
      <c r="AU17" s="32">
        <f t="shared" si="18"/>
        <v>16255.880000000001</v>
      </c>
      <c r="AV17" s="4"/>
      <c r="AW17" s="4">
        <f t="shared" si="19"/>
        <v>0</v>
      </c>
      <c r="AX17" s="30"/>
      <c r="AY17" s="9"/>
      <c r="AZ17" s="4"/>
      <c r="BA17" s="4"/>
      <c r="BB17" s="30"/>
      <c r="BC17" s="9">
        <f>11250</f>
        <v>11250</v>
      </c>
      <c r="BD17" s="4"/>
      <c r="BE17" s="4"/>
      <c r="BF17" s="30"/>
      <c r="BG17" s="9">
        <f>5005.88</f>
        <v>5005.88</v>
      </c>
      <c r="BH17" s="4"/>
      <c r="BI17" s="4"/>
      <c r="BJ17" s="31"/>
      <c r="BK17" s="32">
        <f t="shared" si="20"/>
        <v>0</v>
      </c>
      <c r="BL17" s="32">
        <f t="shared" si="20"/>
        <v>0</v>
      </c>
      <c r="BM17" s="4"/>
      <c r="BN17" s="4"/>
      <c r="BO17" s="9"/>
      <c r="BP17" s="9"/>
      <c r="BQ17" s="5"/>
      <c r="BR17" s="5"/>
      <c r="BS17" s="9"/>
      <c r="BT17" s="9"/>
      <c r="BU17" s="5"/>
      <c r="BV17" s="5"/>
      <c r="BW17" s="9"/>
      <c r="BX17" s="9"/>
      <c r="BY17" s="5"/>
      <c r="BZ17" s="5"/>
      <c r="CA17" s="27"/>
    </row>
    <row r="18" spans="1:79" s="35" customFormat="1" ht="42" customHeight="1" x14ac:dyDescent="0.25">
      <c r="A18" s="33"/>
      <c r="B18" s="11" t="s">
        <v>108</v>
      </c>
      <c r="C18" s="9"/>
      <c r="D18" s="9"/>
      <c r="E18" s="9">
        <v>54000</v>
      </c>
      <c r="F18" s="30"/>
      <c r="G18" s="30">
        <f t="shared" si="15"/>
        <v>0</v>
      </c>
      <c r="H18" s="30">
        <f t="shared" si="15"/>
        <v>54000</v>
      </c>
      <c r="I18" s="4"/>
      <c r="J18" s="4"/>
      <c r="K18" s="31"/>
      <c r="L18" s="32">
        <f t="shared" si="16"/>
        <v>0</v>
      </c>
      <c r="M18" s="32">
        <f t="shared" si="16"/>
        <v>13500</v>
      </c>
      <c r="N18" s="4"/>
      <c r="O18" s="4"/>
      <c r="P18" s="30"/>
      <c r="Q18" s="30">
        <v>4500</v>
      </c>
      <c r="R18" s="4"/>
      <c r="S18" s="4"/>
      <c r="T18" s="30"/>
      <c r="U18" s="30">
        <v>4500</v>
      </c>
      <c r="V18" s="4"/>
      <c r="W18" s="4"/>
      <c r="X18" s="30"/>
      <c r="Y18" s="30">
        <v>4500</v>
      </c>
      <c r="Z18" s="4"/>
      <c r="AA18" s="4"/>
      <c r="AB18" s="31"/>
      <c r="AC18" s="32">
        <f t="shared" si="17"/>
        <v>0</v>
      </c>
      <c r="AD18" s="32">
        <f t="shared" si="17"/>
        <v>13500</v>
      </c>
      <c r="AE18" s="4"/>
      <c r="AF18" s="4"/>
      <c r="AG18" s="30"/>
      <c r="AH18" s="9">
        <v>4500</v>
      </c>
      <c r="AI18" s="4"/>
      <c r="AJ18" s="4"/>
      <c r="AK18" s="30"/>
      <c r="AL18" s="9">
        <v>4500</v>
      </c>
      <c r="AM18" s="4"/>
      <c r="AN18" s="4"/>
      <c r="AO18" s="30"/>
      <c r="AP18" s="9">
        <v>4500</v>
      </c>
      <c r="AQ18" s="4"/>
      <c r="AR18" s="4"/>
      <c r="AS18" s="31"/>
      <c r="AT18" s="32">
        <f t="shared" si="18"/>
        <v>0</v>
      </c>
      <c r="AU18" s="32">
        <f t="shared" si="18"/>
        <v>13500</v>
      </c>
      <c r="AV18" s="4"/>
      <c r="AW18" s="4">
        <f t="shared" si="19"/>
        <v>0</v>
      </c>
      <c r="AX18" s="30"/>
      <c r="AY18" s="9">
        <v>4500</v>
      </c>
      <c r="AZ18" s="4"/>
      <c r="BA18" s="4"/>
      <c r="BB18" s="30"/>
      <c r="BC18" s="9">
        <v>4500</v>
      </c>
      <c r="BD18" s="4"/>
      <c r="BE18" s="4"/>
      <c r="BF18" s="30"/>
      <c r="BG18" s="9">
        <v>4500</v>
      </c>
      <c r="BH18" s="4"/>
      <c r="BI18" s="4"/>
      <c r="BJ18" s="31"/>
      <c r="BK18" s="32">
        <f t="shared" si="20"/>
        <v>0</v>
      </c>
      <c r="BL18" s="32">
        <f t="shared" si="20"/>
        <v>13500</v>
      </c>
      <c r="BM18" s="4"/>
      <c r="BN18" s="4"/>
      <c r="BO18" s="9"/>
      <c r="BP18" s="9">
        <v>4500</v>
      </c>
      <c r="BQ18" s="5"/>
      <c r="BR18" s="5"/>
      <c r="BS18" s="9"/>
      <c r="BT18" s="9">
        <v>4500</v>
      </c>
      <c r="BU18" s="5"/>
      <c r="BV18" s="5"/>
      <c r="BW18" s="9"/>
      <c r="BX18" s="9">
        <v>4500</v>
      </c>
      <c r="BY18" s="5"/>
      <c r="BZ18" s="5"/>
      <c r="CA18" s="27"/>
    </row>
    <row r="19" spans="1:79" s="35" customFormat="1" ht="42" customHeight="1" x14ac:dyDescent="0.25">
      <c r="A19" s="33"/>
      <c r="B19" s="11" t="s">
        <v>109</v>
      </c>
      <c r="C19" s="9"/>
      <c r="D19" s="9"/>
      <c r="E19" s="9">
        <v>0</v>
      </c>
      <c r="F19" s="30"/>
      <c r="G19" s="30">
        <f t="shared" si="15"/>
        <v>0</v>
      </c>
      <c r="H19" s="30">
        <f t="shared" si="15"/>
        <v>0</v>
      </c>
      <c r="I19" s="4"/>
      <c r="J19" s="4"/>
      <c r="K19" s="31"/>
      <c r="L19" s="32">
        <f t="shared" si="16"/>
        <v>0</v>
      </c>
      <c r="M19" s="32">
        <f t="shared" si="16"/>
        <v>0</v>
      </c>
      <c r="N19" s="4"/>
      <c r="O19" s="4"/>
      <c r="P19" s="30"/>
      <c r="Q19" s="30"/>
      <c r="R19" s="4"/>
      <c r="S19" s="4"/>
      <c r="T19" s="30"/>
      <c r="U19" s="30"/>
      <c r="V19" s="4"/>
      <c r="W19" s="4"/>
      <c r="X19" s="30"/>
      <c r="Y19" s="30"/>
      <c r="Z19" s="4"/>
      <c r="AA19" s="4"/>
      <c r="AB19" s="31"/>
      <c r="AC19" s="32">
        <f t="shared" si="17"/>
        <v>0</v>
      </c>
      <c r="AD19" s="32">
        <f t="shared" si="17"/>
        <v>0</v>
      </c>
      <c r="AE19" s="4"/>
      <c r="AF19" s="4"/>
      <c r="AG19" s="30"/>
      <c r="AH19" s="9"/>
      <c r="AI19" s="4"/>
      <c r="AJ19" s="4"/>
      <c r="AK19" s="30"/>
      <c r="AL19" s="9"/>
      <c r="AM19" s="4"/>
      <c r="AN19" s="4"/>
      <c r="AO19" s="30"/>
      <c r="AP19" s="9"/>
      <c r="AQ19" s="4"/>
      <c r="AR19" s="4"/>
      <c r="AS19" s="31"/>
      <c r="AT19" s="32">
        <f t="shared" si="18"/>
        <v>0</v>
      </c>
      <c r="AU19" s="32">
        <f t="shared" si="18"/>
        <v>0</v>
      </c>
      <c r="AV19" s="4"/>
      <c r="AW19" s="4">
        <f t="shared" si="19"/>
        <v>0</v>
      </c>
      <c r="AX19" s="30"/>
      <c r="AY19" s="9"/>
      <c r="AZ19" s="4"/>
      <c r="BA19" s="4"/>
      <c r="BB19" s="30"/>
      <c r="BC19" s="9"/>
      <c r="BD19" s="4"/>
      <c r="BE19" s="4"/>
      <c r="BF19" s="30"/>
      <c r="BG19" s="9"/>
      <c r="BH19" s="4"/>
      <c r="BI19" s="4"/>
      <c r="BJ19" s="31"/>
      <c r="BK19" s="32">
        <f t="shared" si="20"/>
        <v>0</v>
      </c>
      <c r="BL19" s="32">
        <f t="shared" si="20"/>
        <v>0</v>
      </c>
      <c r="BM19" s="4"/>
      <c r="BN19" s="4"/>
      <c r="BO19" s="9"/>
      <c r="BP19" s="9"/>
      <c r="BQ19" s="5"/>
      <c r="BR19" s="5"/>
      <c r="BS19" s="9"/>
      <c r="BT19" s="9"/>
      <c r="BU19" s="5"/>
      <c r="BV19" s="5"/>
      <c r="BW19" s="9"/>
      <c r="BX19" s="9"/>
      <c r="BY19" s="5"/>
      <c r="BZ19" s="5"/>
      <c r="CA19" s="27"/>
    </row>
    <row r="20" spans="1:79" s="28" customFormat="1" ht="42" customHeight="1" x14ac:dyDescent="0.2">
      <c r="A20" s="22" t="s">
        <v>23</v>
      </c>
      <c r="B20" s="23" t="s">
        <v>24</v>
      </c>
      <c r="C20" s="10">
        <v>9200000</v>
      </c>
      <c r="D20" s="10">
        <v>8457200</v>
      </c>
      <c r="E20" s="10">
        <f>SUM(E21:E28)</f>
        <v>8457200</v>
      </c>
      <c r="F20" s="25">
        <f>K20+AB20+AS20+BJ20</f>
        <v>8457200</v>
      </c>
      <c r="G20" s="26">
        <f>SUM(G21:G28)</f>
        <v>7596034.2399999993</v>
      </c>
      <c r="H20" s="26">
        <f>SUM(H21:H28)</f>
        <v>8455994.0099999998</v>
      </c>
      <c r="I20" s="1">
        <f>SUM(I21:I28)</f>
        <v>12753</v>
      </c>
      <c r="J20" s="1">
        <f>SUM(J21:J28)</f>
        <v>141427</v>
      </c>
      <c r="K20" s="10">
        <v>2185300</v>
      </c>
      <c r="L20" s="26">
        <f t="shared" ref="L20:AA20" si="21">SUM(L21:L28)</f>
        <v>1521608.57</v>
      </c>
      <c r="M20" s="26">
        <f t="shared" si="21"/>
        <v>1791927.3800000001</v>
      </c>
      <c r="N20" s="1">
        <f t="shared" si="21"/>
        <v>7101</v>
      </c>
      <c r="O20" s="1">
        <f t="shared" si="21"/>
        <v>29590</v>
      </c>
      <c r="P20" s="26">
        <f t="shared" si="21"/>
        <v>500492.72</v>
      </c>
      <c r="Q20" s="26">
        <f t="shared" si="21"/>
        <v>558026.3899999999</v>
      </c>
      <c r="R20" s="1">
        <f t="shared" si="21"/>
        <v>5894</v>
      </c>
      <c r="S20" s="1">
        <f t="shared" si="21"/>
        <v>9671</v>
      </c>
      <c r="T20" s="26">
        <f t="shared" si="21"/>
        <v>506814.75</v>
      </c>
      <c r="U20" s="26">
        <f t="shared" si="21"/>
        <v>509814.75</v>
      </c>
      <c r="V20" s="1">
        <f t="shared" si="21"/>
        <v>6031</v>
      </c>
      <c r="W20" s="1">
        <f t="shared" si="21"/>
        <v>9839</v>
      </c>
      <c r="X20" s="26">
        <f t="shared" si="21"/>
        <v>514301.1</v>
      </c>
      <c r="Y20" s="26">
        <f t="shared" si="21"/>
        <v>724086.23999999987</v>
      </c>
      <c r="Z20" s="1">
        <f t="shared" si="21"/>
        <v>6182</v>
      </c>
      <c r="AA20" s="1">
        <f t="shared" si="21"/>
        <v>10080</v>
      </c>
      <c r="AB20" s="10">
        <v>2492500</v>
      </c>
      <c r="AC20" s="26">
        <f t="shared" ref="AC20:AR20" si="22">SUM(AC21:AC28)</f>
        <v>1920089.72</v>
      </c>
      <c r="AD20" s="26">
        <f t="shared" si="22"/>
        <v>2150106.96</v>
      </c>
      <c r="AE20" s="1">
        <f t="shared" si="22"/>
        <v>8155</v>
      </c>
      <c r="AF20" s="1">
        <f t="shared" si="22"/>
        <v>35583</v>
      </c>
      <c r="AG20" s="26">
        <f t="shared" si="22"/>
        <v>533460.61</v>
      </c>
      <c r="AH20" s="10">
        <f>SUM(AH21:AH28)</f>
        <v>546460.61</v>
      </c>
      <c r="AI20" s="1">
        <f t="shared" si="22"/>
        <v>6505</v>
      </c>
      <c r="AJ20" s="1">
        <f t="shared" si="22"/>
        <v>11448</v>
      </c>
      <c r="AK20" s="26">
        <f t="shared" si="22"/>
        <v>690834.58</v>
      </c>
      <c r="AL20" s="10">
        <f>SUM(AL21:AL28)</f>
        <v>781354.15999999992</v>
      </c>
      <c r="AM20" s="1">
        <f t="shared" si="22"/>
        <v>6737</v>
      </c>
      <c r="AN20" s="1">
        <f t="shared" si="22"/>
        <v>11825</v>
      </c>
      <c r="AO20" s="26">
        <f>SUM(AO21:AO28)</f>
        <v>695794.53</v>
      </c>
      <c r="AP20" s="10">
        <f>SUM(AP21:AP28)</f>
        <v>822292.19000000006</v>
      </c>
      <c r="AQ20" s="1">
        <f t="shared" si="22"/>
        <v>7147</v>
      </c>
      <c r="AR20" s="1">
        <f t="shared" si="22"/>
        <v>12310</v>
      </c>
      <c r="AS20" s="10">
        <v>2107500</v>
      </c>
      <c r="AT20" s="26">
        <f>SUM(AT21:AT28)</f>
        <v>2083937.8199999998</v>
      </c>
      <c r="AU20" s="26">
        <f t="shared" ref="AU20:BI20" si="23">SUM(AU21:AU28)</f>
        <v>1455496.46</v>
      </c>
      <c r="AV20" s="1">
        <f t="shared" si="23"/>
        <v>8825</v>
      </c>
      <c r="AW20" s="1">
        <f t="shared" si="23"/>
        <v>37636</v>
      </c>
      <c r="AX20" s="26">
        <f t="shared" si="23"/>
        <v>695816.07</v>
      </c>
      <c r="AY20" s="10">
        <f>SUM(AY21:AY28)</f>
        <v>698816.07</v>
      </c>
      <c r="AZ20" s="1">
        <f t="shared" si="23"/>
        <v>7311</v>
      </c>
      <c r="BA20" s="1">
        <f t="shared" si="23"/>
        <v>12607</v>
      </c>
      <c r="BB20" s="26">
        <f t="shared" si="23"/>
        <v>695880.9</v>
      </c>
      <c r="BC20" s="10">
        <f>SUM(BC21:BC28)</f>
        <v>699280.9</v>
      </c>
      <c r="BD20" s="1">
        <f t="shared" si="23"/>
        <v>7482</v>
      </c>
      <c r="BE20" s="1">
        <f t="shared" si="23"/>
        <v>12451</v>
      </c>
      <c r="BF20" s="26">
        <f t="shared" si="23"/>
        <v>692240.85</v>
      </c>
      <c r="BG20" s="10">
        <f>SUM(BG21:BG28)</f>
        <v>57399.49</v>
      </c>
      <c r="BH20" s="1">
        <f t="shared" si="23"/>
        <v>7584</v>
      </c>
      <c r="BI20" s="1">
        <f t="shared" si="23"/>
        <v>12578</v>
      </c>
      <c r="BJ20" s="10">
        <v>1671900</v>
      </c>
      <c r="BK20" s="26">
        <f t="shared" ref="BK20:BZ20" si="24">SUM(BK21:BK28)</f>
        <v>2070398.13</v>
      </c>
      <c r="BL20" s="26">
        <f t="shared" si="24"/>
        <v>3058463.21</v>
      </c>
      <c r="BM20" s="1">
        <f t="shared" si="24"/>
        <v>8922</v>
      </c>
      <c r="BN20" s="1">
        <f t="shared" si="24"/>
        <v>38618</v>
      </c>
      <c r="BO20" s="10">
        <f t="shared" si="24"/>
        <v>684494.08000000007</v>
      </c>
      <c r="BP20" s="10">
        <f>SUM(BP21:BP28)</f>
        <v>1315996.76</v>
      </c>
      <c r="BQ20" s="2">
        <f t="shared" si="24"/>
        <v>7716</v>
      </c>
      <c r="BR20" s="2">
        <f t="shared" si="24"/>
        <v>12400</v>
      </c>
      <c r="BS20" s="10">
        <f t="shared" si="24"/>
        <v>696562.98</v>
      </c>
      <c r="BT20" s="10">
        <f>SUM(BT21:BT28)</f>
        <v>709114.65</v>
      </c>
      <c r="BU20" s="2">
        <f t="shared" si="24"/>
        <v>7875</v>
      </c>
      <c r="BV20" s="2">
        <f t="shared" si="24"/>
        <v>13385</v>
      </c>
      <c r="BW20" s="10">
        <f t="shared" si="24"/>
        <v>689341.07000000007</v>
      </c>
      <c r="BX20" s="10">
        <f>SUM(BX21:BX28)</f>
        <v>1033351.8</v>
      </c>
      <c r="BY20" s="2">
        <f t="shared" si="24"/>
        <v>7759</v>
      </c>
      <c r="BZ20" s="2">
        <f t="shared" si="24"/>
        <v>12833</v>
      </c>
      <c r="CA20" s="27"/>
    </row>
    <row r="21" spans="1:79" s="35" customFormat="1" ht="42" customHeight="1" x14ac:dyDescent="0.25">
      <c r="A21" s="33"/>
      <c r="B21" s="11" t="s">
        <v>80</v>
      </c>
      <c r="C21" s="9"/>
      <c r="D21" s="9"/>
      <c r="E21" s="9">
        <v>1300100</v>
      </c>
      <c r="F21" s="30"/>
      <c r="G21" s="30">
        <f t="shared" ref="G21:H28" si="25">L21+AC21+AT21+BK21</f>
        <v>1300043.3399999999</v>
      </c>
      <c r="H21" s="30">
        <f t="shared" si="25"/>
        <v>1300043.3400000001</v>
      </c>
      <c r="I21" s="4">
        <v>773</v>
      </c>
      <c r="J21" s="4">
        <f>O21+AF21+AW21+BN21</f>
        <v>10108</v>
      </c>
      <c r="K21" s="37"/>
      <c r="L21" s="32">
        <f t="shared" ref="L21:M28" si="26">P21+T21+X21</f>
        <v>267902.38</v>
      </c>
      <c r="M21" s="32">
        <f t="shared" si="26"/>
        <v>267902.38</v>
      </c>
      <c r="N21" s="4">
        <v>178</v>
      </c>
      <c r="O21" s="4">
        <f>S21+W21+AA21</f>
        <v>2091</v>
      </c>
      <c r="P21" s="30">
        <v>83504.929999999993</v>
      </c>
      <c r="Q21" s="30">
        <v>83504.929999999993</v>
      </c>
      <c r="R21" s="4">
        <v>64</v>
      </c>
      <c r="S21" s="4">
        <v>651</v>
      </c>
      <c r="T21" s="30">
        <v>87648.09</v>
      </c>
      <c r="U21" s="30">
        <v>87648.09</v>
      </c>
      <c r="V21" s="4">
        <v>66</v>
      </c>
      <c r="W21" s="4">
        <v>700</v>
      </c>
      <c r="X21" s="30">
        <v>96749.36</v>
      </c>
      <c r="Y21" s="30">
        <v>96749.36</v>
      </c>
      <c r="Z21" s="4">
        <v>79</v>
      </c>
      <c r="AA21" s="4">
        <v>740</v>
      </c>
      <c r="AB21" s="37"/>
      <c r="AC21" s="32">
        <f t="shared" ref="AC21:AD28" si="27">AG21+AK21+AO21</f>
        <v>342216.51</v>
      </c>
      <c r="AD21" s="32">
        <f t="shared" si="27"/>
        <v>341816.51</v>
      </c>
      <c r="AE21" s="4">
        <v>231</v>
      </c>
      <c r="AF21" s="4">
        <f>AJ21+AN21+AR21</f>
        <v>2671</v>
      </c>
      <c r="AG21" s="30">
        <v>116659.62</v>
      </c>
      <c r="AH21" s="9">
        <v>116659.62</v>
      </c>
      <c r="AI21" s="4">
        <v>87</v>
      </c>
      <c r="AJ21" s="4">
        <v>911</v>
      </c>
      <c r="AK21" s="30">
        <v>110298.47</v>
      </c>
      <c r="AL21" s="9">
        <v>109898.47</v>
      </c>
      <c r="AM21" s="4">
        <v>76</v>
      </c>
      <c r="AN21" s="4">
        <v>856</v>
      </c>
      <c r="AO21" s="30">
        <v>115258.42</v>
      </c>
      <c r="AP21" s="9">
        <v>115258.42</v>
      </c>
      <c r="AQ21" s="4">
        <v>93</v>
      </c>
      <c r="AR21" s="4">
        <v>904</v>
      </c>
      <c r="AS21" s="37"/>
      <c r="AT21" s="32">
        <f t="shared" ref="AT21:AU28" si="28">AX21+BB21+BF21</f>
        <v>347453.24</v>
      </c>
      <c r="AU21" s="32">
        <f t="shared" si="28"/>
        <v>278264.25</v>
      </c>
      <c r="AV21" s="4">
        <v>223</v>
      </c>
      <c r="AW21" s="4">
        <f t="shared" ref="AW21:AW28" si="29">BA21+BE21+BI21</f>
        <v>2695</v>
      </c>
      <c r="AX21" s="30">
        <v>115279.96</v>
      </c>
      <c r="AY21" s="9">
        <v>115279.96</v>
      </c>
      <c r="AZ21" s="4">
        <v>83</v>
      </c>
      <c r="BA21" s="4">
        <v>906</v>
      </c>
      <c r="BB21" s="30">
        <v>116160.29</v>
      </c>
      <c r="BC21" s="9">
        <v>116560.29</v>
      </c>
      <c r="BD21" s="4">
        <v>86</v>
      </c>
      <c r="BE21" s="4">
        <v>854</v>
      </c>
      <c r="BF21" s="30">
        <v>116012.99</v>
      </c>
      <c r="BG21" s="9">
        <v>46424</v>
      </c>
      <c r="BH21" s="4">
        <v>78</v>
      </c>
      <c r="BI21" s="4">
        <v>935</v>
      </c>
      <c r="BJ21" s="37"/>
      <c r="BK21" s="32">
        <f t="shared" ref="BK21:BL28" si="30">BO21+BS21+BW21</f>
        <v>342471.20999999996</v>
      </c>
      <c r="BL21" s="32">
        <f t="shared" si="30"/>
        <v>412060.20000000007</v>
      </c>
      <c r="BM21" s="4">
        <v>207</v>
      </c>
      <c r="BN21" s="4">
        <f>BR21+BV21+BZ21</f>
        <v>2651</v>
      </c>
      <c r="BO21" s="9">
        <v>109521.3</v>
      </c>
      <c r="BP21" s="9">
        <v>179110.29</v>
      </c>
      <c r="BQ21" s="5">
        <v>74</v>
      </c>
      <c r="BR21" s="5">
        <v>813</v>
      </c>
      <c r="BS21" s="9">
        <v>116283.25</v>
      </c>
      <c r="BT21" s="9">
        <v>116283.25</v>
      </c>
      <c r="BU21" s="5">
        <v>77</v>
      </c>
      <c r="BV21" s="5">
        <v>861</v>
      </c>
      <c r="BW21" s="9">
        <v>116666.66</v>
      </c>
      <c r="BX21" s="9">
        <v>116666.66</v>
      </c>
      <c r="BY21" s="5">
        <v>81</v>
      </c>
      <c r="BZ21" s="5">
        <v>977</v>
      </c>
      <c r="CA21" s="27"/>
    </row>
    <row r="22" spans="1:79" s="35" customFormat="1" ht="42" customHeight="1" x14ac:dyDescent="0.25">
      <c r="A22" s="33"/>
      <c r="B22" s="11" t="s">
        <v>81</v>
      </c>
      <c r="C22" s="9"/>
      <c r="D22" s="9"/>
      <c r="E22" s="9">
        <f>5601600-239000</f>
        <v>5362600</v>
      </c>
      <c r="F22" s="30"/>
      <c r="G22" s="30">
        <f t="shared" si="25"/>
        <v>5362575.5999999996</v>
      </c>
      <c r="H22" s="30">
        <f t="shared" si="25"/>
        <v>5362575.5999999996</v>
      </c>
      <c r="I22" s="4">
        <v>10656</v>
      </c>
      <c r="J22" s="4">
        <f>O22+AF22+AW22+BN22</f>
        <v>81207</v>
      </c>
      <c r="K22" s="37"/>
      <c r="L22" s="32">
        <f t="shared" si="26"/>
        <v>1077499.98</v>
      </c>
      <c r="M22" s="32">
        <f t="shared" si="26"/>
        <v>1077499.98</v>
      </c>
      <c r="N22" s="4">
        <v>6547</v>
      </c>
      <c r="O22" s="4">
        <f>S22+W22+AA22</f>
        <v>18081</v>
      </c>
      <c r="P22" s="30">
        <v>359166.66</v>
      </c>
      <c r="Q22" s="30">
        <v>359166.66</v>
      </c>
      <c r="R22" s="4">
        <v>5647</v>
      </c>
      <c r="S22" s="4">
        <v>5879</v>
      </c>
      <c r="T22" s="30">
        <v>359166.66</v>
      </c>
      <c r="U22" s="30">
        <v>359166.66</v>
      </c>
      <c r="V22" s="4">
        <v>5785</v>
      </c>
      <c r="W22" s="4">
        <v>6025</v>
      </c>
      <c r="X22" s="30">
        <v>359166.66</v>
      </c>
      <c r="Y22" s="30">
        <v>359166.66</v>
      </c>
      <c r="Z22" s="4">
        <v>5902</v>
      </c>
      <c r="AA22" s="4">
        <v>6177</v>
      </c>
      <c r="AB22" s="37"/>
      <c r="AC22" s="32">
        <f t="shared" si="27"/>
        <v>1340643.8999999999</v>
      </c>
      <c r="AD22" s="32">
        <f t="shared" si="27"/>
        <v>1340643.8999999999</v>
      </c>
      <c r="AE22" s="4">
        <v>7387</v>
      </c>
      <c r="AF22" s="4">
        <f>AJ22+AN22+AR22</f>
        <v>19555</v>
      </c>
      <c r="AG22" s="30">
        <v>359166.66</v>
      </c>
      <c r="AH22" s="9">
        <v>359166.66</v>
      </c>
      <c r="AI22" s="4">
        <v>6192</v>
      </c>
      <c r="AJ22" s="4">
        <v>6468</v>
      </c>
      <c r="AK22" s="30">
        <v>490738.62</v>
      </c>
      <c r="AL22" s="9">
        <v>490738.62</v>
      </c>
      <c r="AM22" s="4">
        <v>6341</v>
      </c>
      <c r="AN22" s="4">
        <v>6349</v>
      </c>
      <c r="AO22" s="30">
        <v>490738.62</v>
      </c>
      <c r="AP22" s="9">
        <v>490738.62</v>
      </c>
      <c r="AQ22" s="4">
        <v>6724</v>
      </c>
      <c r="AR22" s="4">
        <v>6738</v>
      </c>
      <c r="AS22" s="37"/>
      <c r="AT22" s="32">
        <f>AX22+BB22+BF22</f>
        <v>1472215.8599999999</v>
      </c>
      <c r="AU22" s="32">
        <f t="shared" si="28"/>
        <v>981477.24</v>
      </c>
      <c r="AV22" s="4">
        <v>8105</v>
      </c>
      <c r="AW22" s="4">
        <f t="shared" si="29"/>
        <v>21287</v>
      </c>
      <c r="AX22" s="30">
        <v>490738.62</v>
      </c>
      <c r="AY22" s="9">
        <v>490738.62</v>
      </c>
      <c r="AZ22" s="4">
        <v>6917</v>
      </c>
      <c r="BA22" s="4">
        <v>6927</v>
      </c>
      <c r="BB22" s="30">
        <v>490738.62</v>
      </c>
      <c r="BC22" s="9">
        <v>490738.62</v>
      </c>
      <c r="BD22" s="4">
        <v>7102</v>
      </c>
      <c r="BE22" s="4">
        <v>7106</v>
      </c>
      <c r="BF22" s="30">
        <v>490738.62</v>
      </c>
      <c r="BG22" s="9"/>
      <c r="BH22" s="4">
        <v>7230</v>
      </c>
      <c r="BI22" s="4">
        <v>7254</v>
      </c>
      <c r="BJ22" s="37"/>
      <c r="BK22" s="32">
        <f t="shared" si="30"/>
        <v>1472215.8599999999</v>
      </c>
      <c r="BL22" s="32">
        <f t="shared" si="30"/>
        <v>1962954.48</v>
      </c>
      <c r="BM22" s="4">
        <v>8258</v>
      </c>
      <c r="BN22" s="4">
        <f>BR22+BV22+BZ22</f>
        <v>22284</v>
      </c>
      <c r="BO22" s="9">
        <v>490738.62</v>
      </c>
      <c r="BP22" s="9">
        <v>981477.24</v>
      </c>
      <c r="BQ22" s="5">
        <v>7361</v>
      </c>
      <c r="BR22" s="5">
        <v>7367</v>
      </c>
      <c r="BS22" s="9">
        <v>490738.62</v>
      </c>
      <c r="BT22" s="9">
        <v>490738.62</v>
      </c>
      <c r="BU22" s="5">
        <v>7494</v>
      </c>
      <c r="BV22" s="5">
        <v>7500</v>
      </c>
      <c r="BW22" s="9">
        <v>490738.62</v>
      </c>
      <c r="BX22" s="9">
        <v>490738.62</v>
      </c>
      <c r="BY22" s="5">
        <v>7409</v>
      </c>
      <c r="BZ22" s="5">
        <v>7417</v>
      </c>
      <c r="CA22" s="27"/>
    </row>
    <row r="23" spans="1:79" s="35" customFormat="1" ht="42" customHeight="1" x14ac:dyDescent="0.25">
      <c r="A23" s="33"/>
      <c r="B23" s="11" t="s">
        <v>110</v>
      </c>
      <c r="C23" s="9"/>
      <c r="D23" s="9"/>
      <c r="E23" s="9">
        <v>239000</v>
      </c>
      <c r="F23" s="30"/>
      <c r="G23" s="30">
        <f t="shared" si="25"/>
        <v>238979.92</v>
      </c>
      <c r="H23" s="30">
        <f t="shared" si="25"/>
        <v>238979.92</v>
      </c>
      <c r="I23" s="4">
        <v>109</v>
      </c>
      <c r="J23" s="4">
        <f>O23+AF23+AW23+BN23</f>
        <v>4361</v>
      </c>
      <c r="K23" s="37"/>
      <c r="L23" s="32">
        <f t="shared" si="26"/>
        <v>0</v>
      </c>
      <c r="M23" s="32">
        <f t="shared" si="26"/>
        <v>0</v>
      </c>
      <c r="N23" s="4">
        <v>0</v>
      </c>
      <c r="O23" s="4">
        <f>S23+W23+AA23</f>
        <v>0</v>
      </c>
      <c r="P23" s="30">
        <v>0</v>
      </c>
      <c r="Q23" s="30"/>
      <c r="R23" s="4">
        <v>0</v>
      </c>
      <c r="S23" s="4">
        <v>0</v>
      </c>
      <c r="T23" s="30">
        <v>0</v>
      </c>
      <c r="U23" s="30"/>
      <c r="V23" s="4">
        <v>0</v>
      </c>
      <c r="W23" s="4">
        <v>0</v>
      </c>
      <c r="X23" s="30">
        <v>0</v>
      </c>
      <c r="Y23" s="30"/>
      <c r="Z23" s="4">
        <v>0</v>
      </c>
      <c r="AA23" s="4">
        <v>0</v>
      </c>
      <c r="AB23" s="37"/>
      <c r="AC23" s="32">
        <f t="shared" si="27"/>
        <v>59744.98</v>
      </c>
      <c r="AD23" s="32">
        <f t="shared" si="27"/>
        <v>59744.98</v>
      </c>
      <c r="AE23" s="4">
        <v>94</v>
      </c>
      <c r="AF23" s="4">
        <f>AJ23+AN23+AR23</f>
        <v>1259</v>
      </c>
      <c r="AG23" s="30">
        <v>0</v>
      </c>
      <c r="AH23" s="9"/>
      <c r="AI23" s="4">
        <v>0</v>
      </c>
      <c r="AJ23" s="4">
        <v>0</v>
      </c>
      <c r="AK23" s="30">
        <v>29872.49</v>
      </c>
      <c r="AL23" s="9"/>
      <c r="AM23" s="4">
        <v>91</v>
      </c>
      <c r="AN23" s="4">
        <v>665</v>
      </c>
      <c r="AO23" s="30">
        <v>29872.49</v>
      </c>
      <c r="AP23" s="9">
        <v>59744.98</v>
      </c>
      <c r="AQ23" s="4">
        <v>89</v>
      </c>
      <c r="AR23" s="4">
        <v>594</v>
      </c>
      <c r="AS23" s="37"/>
      <c r="AT23" s="32">
        <f>AX23+BB23+BF23</f>
        <v>89617.47</v>
      </c>
      <c r="AU23" s="32">
        <f>AY23+BC23+BG23</f>
        <v>59744.98</v>
      </c>
      <c r="AV23" s="4">
        <v>76</v>
      </c>
      <c r="AW23" s="4">
        <f t="shared" si="29"/>
        <v>1393</v>
      </c>
      <c r="AX23" s="30">
        <v>29872.49</v>
      </c>
      <c r="AY23" s="9">
        <v>29872.49</v>
      </c>
      <c r="AZ23" s="4">
        <v>73</v>
      </c>
      <c r="BA23" s="4">
        <v>545</v>
      </c>
      <c r="BB23" s="30">
        <v>29872.49</v>
      </c>
      <c r="BC23" s="9">
        <v>29872.49</v>
      </c>
      <c r="BD23" s="4">
        <v>67</v>
      </c>
      <c r="BE23" s="4">
        <v>474</v>
      </c>
      <c r="BF23" s="30">
        <v>29872.49</v>
      </c>
      <c r="BG23" s="9"/>
      <c r="BH23" s="4">
        <v>68</v>
      </c>
      <c r="BI23" s="4">
        <v>374</v>
      </c>
      <c r="BJ23" s="37"/>
      <c r="BK23" s="32">
        <f t="shared" si="30"/>
        <v>89617.47</v>
      </c>
      <c r="BL23" s="32">
        <f t="shared" si="30"/>
        <v>119489.96</v>
      </c>
      <c r="BM23" s="4">
        <v>74</v>
      </c>
      <c r="BN23" s="4">
        <f>BR23+BV23+BZ23</f>
        <v>1709</v>
      </c>
      <c r="BO23" s="9">
        <v>29872.49</v>
      </c>
      <c r="BP23" s="9">
        <v>59744.98</v>
      </c>
      <c r="BQ23" s="5">
        <v>65</v>
      </c>
      <c r="BR23" s="5">
        <v>402</v>
      </c>
      <c r="BS23" s="9">
        <v>29872.49</v>
      </c>
      <c r="BT23" s="9">
        <v>29872.49</v>
      </c>
      <c r="BU23" s="5">
        <v>66</v>
      </c>
      <c r="BV23" s="5">
        <v>557</v>
      </c>
      <c r="BW23" s="9">
        <v>29872.49</v>
      </c>
      <c r="BX23" s="9">
        <v>29872.49</v>
      </c>
      <c r="BY23" s="5">
        <v>65</v>
      </c>
      <c r="BZ23" s="5">
        <v>750</v>
      </c>
      <c r="CA23" s="27"/>
    </row>
    <row r="24" spans="1:79" s="35" customFormat="1" ht="66" customHeight="1" x14ac:dyDescent="0.25">
      <c r="A24" s="33"/>
      <c r="B24" s="3" t="s">
        <v>79</v>
      </c>
      <c r="C24" s="9"/>
      <c r="D24" s="9"/>
      <c r="E24" s="9">
        <v>298400</v>
      </c>
      <c r="F24" s="30"/>
      <c r="G24" s="30">
        <f t="shared" si="25"/>
        <v>298333.33</v>
      </c>
      <c r="H24" s="30">
        <f t="shared" si="25"/>
        <v>298333.33</v>
      </c>
      <c r="I24" s="4">
        <v>822</v>
      </c>
      <c r="J24" s="4">
        <f>O24+AF24+AW24+BN24</f>
        <v>42954</v>
      </c>
      <c r="K24" s="37"/>
      <c r="L24" s="32">
        <f t="shared" si="26"/>
        <v>73333.33</v>
      </c>
      <c r="M24" s="32">
        <f t="shared" si="26"/>
        <v>73333.33</v>
      </c>
      <c r="N24" s="4">
        <v>261</v>
      </c>
      <c r="O24" s="4">
        <f>S24+W24+AA24</f>
        <v>8665</v>
      </c>
      <c r="P24" s="30">
        <v>23333.33</v>
      </c>
      <c r="Q24" s="30">
        <v>23333.33</v>
      </c>
      <c r="R24" s="4">
        <v>146</v>
      </c>
      <c r="S24" s="4">
        <v>2904</v>
      </c>
      <c r="T24" s="30">
        <v>25000</v>
      </c>
      <c r="U24" s="30">
        <v>25000</v>
      </c>
      <c r="V24" s="4">
        <v>135</v>
      </c>
      <c r="W24" s="4">
        <v>2838</v>
      </c>
      <c r="X24" s="30">
        <v>25000</v>
      </c>
      <c r="Y24" s="30">
        <v>25000</v>
      </c>
      <c r="Z24" s="4">
        <v>166</v>
      </c>
      <c r="AA24" s="4">
        <v>2923</v>
      </c>
      <c r="AB24" s="37"/>
      <c r="AC24" s="32">
        <f t="shared" si="27"/>
        <v>75000</v>
      </c>
      <c r="AD24" s="32">
        <f t="shared" si="27"/>
        <v>75000</v>
      </c>
      <c r="AE24" s="4">
        <v>330</v>
      </c>
      <c r="AF24" s="4">
        <f>AJ24+AN24+AR24</f>
        <v>11347</v>
      </c>
      <c r="AG24" s="30">
        <v>25000</v>
      </c>
      <c r="AH24" s="9">
        <v>25000</v>
      </c>
      <c r="AI24" s="4">
        <v>190</v>
      </c>
      <c r="AJ24" s="4">
        <v>3833</v>
      </c>
      <c r="AK24" s="30">
        <v>25000</v>
      </c>
      <c r="AL24" s="9">
        <v>25000</v>
      </c>
      <c r="AM24" s="4">
        <v>189</v>
      </c>
      <c r="AN24" s="4">
        <v>3697</v>
      </c>
      <c r="AO24" s="30">
        <v>25000</v>
      </c>
      <c r="AP24" s="9">
        <v>25000</v>
      </c>
      <c r="AQ24" s="4">
        <v>203</v>
      </c>
      <c r="AR24" s="4">
        <v>3817</v>
      </c>
      <c r="AS24" s="37"/>
      <c r="AT24" s="32">
        <f t="shared" si="28"/>
        <v>75000</v>
      </c>
      <c r="AU24" s="32">
        <f t="shared" si="28"/>
        <v>50000</v>
      </c>
      <c r="AV24" s="4">
        <v>321</v>
      </c>
      <c r="AW24" s="4">
        <f t="shared" si="29"/>
        <v>11594</v>
      </c>
      <c r="AX24" s="30">
        <v>25000</v>
      </c>
      <c r="AY24" s="9">
        <v>25000</v>
      </c>
      <c r="AZ24" s="4">
        <v>202</v>
      </c>
      <c r="BA24" s="4">
        <v>3986</v>
      </c>
      <c r="BB24" s="30">
        <v>25000</v>
      </c>
      <c r="BC24" s="9">
        <v>25000</v>
      </c>
      <c r="BD24" s="4">
        <v>190</v>
      </c>
      <c r="BE24" s="4">
        <v>3787</v>
      </c>
      <c r="BF24" s="30">
        <v>25000</v>
      </c>
      <c r="BG24" s="9"/>
      <c r="BH24" s="4">
        <v>178</v>
      </c>
      <c r="BI24" s="4">
        <v>3821</v>
      </c>
      <c r="BJ24" s="37"/>
      <c r="BK24" s="32">
        <f t="shared" si="30"/>
        <v>75000</v>
      </c>
      <c r="BL24" s="32">
        <f t="shared" si="30"/>
        <v>100000</v>
      </c>
      <c r="BM24" s="4">
        <v>284</v>
      </c>
      <c r="BN24" s="4">
        <f>BR24+BV24+BZ24</f>
        <v>11348</v>
      </c>
      <c r="BO24" s="9">
        <v>25000</v>
      </c>
      <c r="BP24" s="9">
        <v>50000</v>
      </c>
      <c r="BQ24" s="5">
        <v>189</v>
      </c>
      <c r="BR24" s="5">
        <v>3644</v>
      </c>
      <c r="BS24" s="9">
        <v>25000</v>
      </c>
      <c r="BT24" s="9">
        <v>25000</v>
      </c>
      <c r="BU24" s="5">
        <v>200</v>
      </c>
      <c r="BV24" s="5">
        <v>4228</v>
      </c>
      <c r="BW24" s="9">
        <v>25000</v>
      </c>
      <c r="BX24" s="9">
        <v>25000</v>
      </c>
      <c r="BY24" s="5">
        <v>168</v>
      </c>
      <c r="BZ24" s="5">
        <v>3476</v>
      </c>
      <c r="CA24" s="27"/>
    </row>
    <row r="25" spans="1:79" s="35" customFormat="1" ht="42" customHeight="1" x14ac:dyDescent="0.25">
      <c r="A25" s="33"/>
      <c r="B25" s="11" t="s">
        <v>82</v>
      </c>
      <c r="C25" s="9"/>
      <c r="D25" s="9"/>
      <c r="E25" s="9">
        <v>824900</v>
      </c>
      <c r="F25" s="30"/>
      <c r="G25" s="30">
        <f t="shared" si="25"/>
        <v>0</v>
      </c>
      <c r="H25" s="30">
        <f t="shared" si="25"/>
        <v>823926.16999999993</v>
      </c>
      <c r="I25" s="4"/>
      <c r="J25" s="4"/>
      <c r="K25" s="37"/>
      <c r="L25" s="32">
        <f t="shared" si="26"/>
        <v>0</v>
      </c>
      <c r="M25" s="32">
        <f t="shared" si="26"/>
        <v>271318.81</v>
      </c>
      <c r="N25" s="38"/>
      <c r="O25" s="38"/>
      <c r="P25" s="30"/>
      <c r="Q25" s="30">
        <v>54533.67</v>
      </c>
      <c r="R25" s="4"/>
      <c r="S25" s="4"/>
      <c r="T25" s="30"/>
      <c r="U25" s="30"/>
      <c r="V25" s="4"/>
      <c r="W25" s="4"/>
      <c r="X25" s="30"/>
      <c r="Y25" s="30">
        <f>265.74+81921.81+134597.59</f>
        <v>216785.14</v>
      </c>
      <c r="Z25" s="4"/>
      <c r="AA25" s="4"/>
      <c r="AB25" s="37"/>
      <c r="AC25" s="32">
        <f t="shared" si="27"/>
        <v>0</v>
      </c>
      <c r="AD25" s="32">
        <f t="shared" si="27"/>
        <v>211417.24</v>
      </c>
      <c r="AE25" s="38"/>
      <c r="AF25" s="38"/>
      <c r="AG25" s="30"/>
      <c r="AH25" s="9"/>
      <c r="AI25" s="4"/>
      <c r="AJ25" s="4"/>
      <c r="AK25" s="30"/>
      <c r="AL25" s="9">
        <f>127792.07</f>
        <v>127792.07</v>
      </c>
      <c r="AM25" s="4"/>
      <c r="AN25" s="4"/>
      <c r="AO25" s="30"/>
      <c r="AP25" s="9">
        <f>83625.17</f>
        <v>83625.17</v>
      </c>
      <c r="AQ25" s="4"/>
      <c r="AR25" s="4"/>
      <c r="AS25" s="37"/>
      <c r="AT25" s="32">
        <f t="shared" si="28"/>
        <v>0</v>
      </c>
      <c r="AU25" s="32">
        <f t="shared" si="28"/>
        <v>212.99</v>
      </c>
      <c r="AV25" s="38"/>
      <c r="AW25" s="4">
        <f t="shared" si="29"/>
        <v>0</v>
      </c>
      <c r="AX25" s="30"/>
      <c r="AY25" s="9"/>
      <c r="AZ25" s="4"/>
      <c r="BA25" s="4"/>
      <c r="BB25" s="30"/>
      <c r="BD25" s="4"/>
      <c r="BE25" s="4"/>
      <c r="BF25" s="30"/>
      <c r="BG25" s="9">
        <f>212.99</f>
        <v>212.99</v>
      </c>
      <c r="BH25" s="4"/>
      <c r="BI25" s="4"/>
      <c r="BJ25" s="37"/>
      <c r="BK25" s="32">
        <f t="shared" si="30"/>
        <v>0</v>
      </c>
      <c r="BL25" s="32">
        <f t="shared" si="30"/>
        <v>340977.13</v>
      </c>
      <c r="BM25" s="38"/>
      <c r="BN25" s="4"/>
      <c r="BO25" s="9"/>
      <c r="BP25" s="9"/>
      <c r="BQ25" s="5"/>
      <c r="BR25" s="5"/>
      <c r="BS25" s="9"/>
      <c r="BT25" s="9"/>
      <c r="BU25" s="5"/>
      <c r="BV25" s="5"/>
      <c r="BW25" s="9"/>
      <c r="BX25" s="9">
        <f>138980.66+56468+145528.47</f>
        <v>340977.13</v>
      </c>
      <c r="BY25" s="5"/>
      <c r="BZ25" s="5"/>
      <c r="CA25" s="27"/>
    </row>
    <row r="26" spans="1:79" s="35" customFormat="1" ht="42" customHeight="1" x14ac:dyDescent="0.25">
      <c r="A26" s="33"/>
      <c r="B26" s="11" t="s">
        <v>83</v>
      </c>
      <c r="C26" s="9"/>
      <c r="D26" s="9"/>
      <c r="E26" s="9">
        <v>36000</v>
      </c>
      <c r="F26" s="30"/>
      <c r="G26" s="30">
        <f t="shared" si="25"/>
        <v>0</v>
      </c>
      <c r="H26" s="30">
        <f t="shared" si="25"/>
        <v>36000</v>
      </c>
      <c r="I26" s="4"/>
      <c r="J26" s="4"/>
      <c r="K26" s="37"/>
      <c r="L26" s="32">
        <f t="shared" si="26"/>
        <v>0</v>
      </c>
      <c r="M26" s="32">
        <f t="shared" si="26"/>
        <v>9000</v>
      </c>
      <c r="N26" s="38"/>
      <c r="O26" s="38"/>
      <c r="P26" s="30"/>
      <c r="Q26" s="30">
        <v>3000</v>
      </c>
      <c r="R26" s="4"/>
      <c r="S26" s="4"/>
      <c r="T26" s="30"/>
      <c r="U26" s="30">
        <v>3000</v>
      </c>
      <c r="V26" s="4"/>
      <c r="W26" s="4"/>
      <c r="X26" s="30"/>
      <c r="Y26" s="30">
        <v>3000</v>
      </c>
      <c r="Z26" s="4"/>
      <c r="AA26" s="4"/>
      <c r="AB26" s="37"/>
      <c r="AC26" s="32">
        <f t="shared" si="27"/>
        <v>0</v>
      </c>
      <c r="AD26" s="32">
        <f t="shared" si="27"/>
        <v>9000</v>
      </c>
      <c r="AE26" s="38"/>
      <c r="AF26" s="38"/>
      <c r="AG26" s="30"/>
      <c r="AH26" s="9">
        <v>3000</v>
      </c>
      <c r="AI26" s="4"/>
      <c r="AJ26" s="4"/>
      <c r="AK26" s="30"/>
      <c r="AL26" s="9">
        <v>3000</v>
      </c>
      <c r="AM26" s="4"/>
      <c r="AN26" s="4"/>
      <c r="AO26" s="30"/>
      <c r="AP26" s="9">
        <v>3000</v>
      </c>
      <c r="AQ26" s="4"/>
      <c r="AR26" s="4"/>
      <c r="AS26" s="37"/>
      <c r="AT26" s="32">
        <f t="shared" si="28"/>
        <v>0</v>
      </c>
      <c r="AU26" s="32">
        <f t="shared" si="28"/>
        <v>9000</v>
      </c>
      <c r="AV26" s="38"/>
      <c r="AW26" s="4">
        <f t="shared" si="29"/>
        <v>0</v>
      </c>
      <c r="AX26" s="30"/>
      <c r="AY26" s="9">
        <v>3000</v>
      </c>
      <c r="AZ26" s="4"/>
      <c r="BA26" s="4"/>
      <c r="BB26" s="30"/>
      <c r="BC26" s="9">
        <v>3000</v>
      </c>
      <c r="BD26" s="4"/>
      <c r="BE26" s="4"/>
      <c r="BF26" s="30"/>
      <c r="BG26" s="9">
        <v>3000</v>
      </c>
      <c r="BH26" s="4"/>
      <c r="BI26" s="4"/>
      <c r="BJ26" s="37"/>
      <c r="BK26" s="32">
        <f t="shared" si="30"/>
        <v>0</v>
      </c>
      <c r="BL26" s="32">
        <f t="shared" si="30"/>
        <v>9000</v>
      </c>
      <c r="BM26" s="38"/>
      <c r="BN26" s="4"/>
      <c r="BO26" s="9"/>
      <c r="BP26" s="9">
        <v>3000</v>
      </c>
      <c r="BQ26" s="5"/>
      <c r="BR26" s="5"/>
      <c r="BS26" s="9"/>
      <c r="BT26" s="9">
        <v>3000</v>
      </c>
      <c r="BU26" s="5"/>
      <c r="BV26" s="5"/>
      <c r="BW26" s="9"/>
      <c r="BX26" s="9">
        <v>3000</v>
      </c>
      <c r="BY26" s="5"/>
      <c r="BZ26" s="5"/>
      <c r="CA26" s="27"/>
    </row>
    <row r="27" spans="1:79" s="35" customFormat="1" ht="42" customHeight="1" x14ac:dyDescent="0.25">
      <c r="A27" s="39"/>
      <c r="B27" s="11" t="s">
        <v>25</v>
      </c>
      <c r="C27" s="40"/>
      <c r="D27" s="40"/>
      <c r="E27" s="40">
        <v>120900</v>
      </c>
      <c r="F27" s="30"/>
      <c r="G27" s="30">
        <f t="shared" si="25"/>
        <v>120833.33</v>
      </c>
      <c r="H27" s="30">
        <f t="shared" si="25"/>
        <v>120833.33</v>
      </c>
      <c r="I27" s="4"/>
      <c r="J27" s="4"/>
      <c r="K27" s="37"/>
      <c r="L27" s="32">
        <f t="shared" si="26"/>
        <v>30833.33</v>
      </c>
      <c r="M27" s="32">
        <f t="shared" si="26"/>
        <v>20833.330000000002</v>
      </c>
      <c r="N27" s="38"/>
      <c r="O27" s="38"/>
      <c r="P27" s="30">
        <v>10833.33</v>
      </c>
      <c r="Q27" s="30">
        <v>10833.33</v>
      </c>
      <c r="R27" s="4"/>
      <c r="S27" s="4"/>
      <c r="T27" s="30">
        <v>10000</v>
      </c>
      <c r="U27" s="30">
        <v>10000</v>
      </c>
      <c r="V27" s="4"/>
      <c r="W27" s="4"/>
      <c r="X27" s="30">
        <v>10000</v>
      </c>
      <c r="Y27" s="30"/>
      <c r="Z27" s="4"/>
      <c r="AA27" s="4"/>
      <c r="AB27" s="37"/>
      <c r="AC27" s="32">
        <f t="shared" si="27"/>
        <v>30000</v>
      </c>
      <c r="AD27" s="32">
        <f t="shared" si="27"/>
        <v>40000</v>
      </c>
      <c r="AE27" s="38"/>
      <c r="AF27" s="38"/>
      <c r="AG27" s="30">
        <v>10000</v>
      </c>
      <c r="AH27" s="9">
        <v>20000</v>
      </c>
      <c r="AI27" s="4"/>
      <c r="AJ27" s="4"/>
      <c r="AK27" s="30">
        <v>10000</v>
      </c>
      <c r="AL27" s="9">
        <v>10000</v>
      </c>
      <c r="AM27" s="4"/>
      <c r="AN27" s="4"/>
      <c r="AO27" s="30">
        <v>10000</v>
      </c>
      <c r="AP27" s="9">
        <v>10000</v>
      </c>
      <c r="AQ27" s="4">
        <v>0</v>
      </c>
      <c r="AR27" s="4">
        <v>0</v>
      </c>
      <c r="AS27" s="37"/>
      <c r="AT27" s="32">
        <f t="shared" si="28"/>
        <v>30000</v>
      </c>
      <c r="AU27" s="32">
        <f t="shared" si="28"/>
        <v>20000</v>
      </c>
      <c r="AV27" s="38">
        <v>0</v>
      </c>
      <c r="AW27" s="4">
        <f t="shared" si="29"/>
        <v>0</v>
      </c>
      <c r="AX27" s="30">
        <v>10000</v>
      </c>
      <c r="AY27" s="9">
        <v>10000</v>
      </c>
      <c r="AZ27" s="4">
        <v>0</v>
      </c>
      <c r="BA27" s="4">
        <v>0</v>
      </c>
      <c r="BB27" s="30">
        <v>10000</v>
      </c>
      <c r="BC27" s="9">
        <v>10000</v>
      </c>
      <c r="BD27" s="4"/>
      <c r="BE27" s="4"/>
      <c r="BF27" s="30">
        <v>10000</v>
      </c>
      <c r="BG27" s="9"/>
      <c r="BH27" s="4"/>
      <c r="BI27" s="4"/>
      <c r="BJ27" s="37"/>
      <c r="BK27" s="32">
        <f t="shared" si="30"/>
        <v>30000</v>
      </c>
      <c r="BL27" s="32">
        <f t="shared" si="30"/>
        <v>40000</v>
      </c>
      <c r="BM27" s="38"/>
      <c r="BN27" s="4">
        <f>BR27+BV27+BZ27</f>
        <v>0</v>
      </c>
      <c r="BO27" s="9">
        <v>10000</v>
      </c>
      <c r="BP27" s="9">
        <v>20000</v>
      </c>
      <c r="BQ27" s="5"/>
      <c r="BR27" s="5"/>
      <c r="BS27" s="9">
        <v>10000</v>
      </c>
      <c r="BT27" s="9">
        <v>10000</v>
      </c>
      <c r="BU27" s="5"/>
      <c r="BV27" s="5"/>
      <c r="BW27" s="9">
        <v>10000</v>
      </c>
      <c r="BX27" s="9">
        <v>10000</v>
      </c>
      <c r="BY27" s="5"/>
      <c r="BZ27" s="5"/>
      <c r="CA27" s="27"/>
    </row>
    <row r="28" spans="1:79" s="35" customFormat="1" ht="42" customHeight="1" x14ac:dyDescent="0.25">
      <c r="A28" s="39"/>
      <c r="B28" s="11" t="s">
        <v>26</v>
      </c>
      <c r="C28" s="40"/>
      <c r="D28" s="40"/>
      <c r="E28" s="40">
        <v>275300</v>
      </c>
      <c r="F28" s="30"/>
      <c r="G28" s="30">
        <f t="shared" si="25"/>
        <v>275268.71999999997</v>
      </c>
      <c r="H28" s="30">
        <f t="shared" si="25"/>
        <v>275302.32</v>
      </c>
      <c r="I28" s="4">
        <v>393</v>
      </c>
      <c r="J28" s="4">
        <f>O28+AF28+AW28+BN28</f>
        <v>2797</v>
      </c>
      <c r="K28" s="31"/>
      <c r="L28" s="32">
        <f t="shared" si="26"/>
        <v>72039.55</v>
      </c>
      <c r="M28" s="32">
        <f t="shared" si="26"/>
        <v>72039.55</v>
      </c>
      <c r="N28" s="4">
        <v>115</v>
      </c>
      <c r="O28" s="4">
        <f>S28+W28+AA28</f>
        <v>753</v>
      </c>
      <c r="P28" s="30">
        <v>23654.47</v>
      </c>
      <c r="Q28" s="30">
        <v>23654.47</v>
      </c>
      <c r="R28" s="4">
        <v>37</v>
      </c>
      <c r="S28" s="4">
        <v>237</v>
      </c>
      <c r="T28" s="30">
        <v>25000</v>
      </c>
      <c r="U28" s="30">
        <v>25000</v>
      </c>
      <c r="V28" s="4">
        <v>45</v>
      </c>
      <c r="W28" s="4">
        <v>276</v>
      </c>
      <c r="X28" s="30">
        <v>23385.08</v>
      </c>
      <c r="Y28" s="30">
        <v>23385.08</v>
      </c>
      <c r="Z28" s="4">
        <v>35</v>
      </c>
      <c r="AA28" s="4">
        <v>240</v>
      </c>
      <c r="AB28" s="31"/>
      <c r="AC28" s="32">
        <f t="shared" si="27"/>
        <v>72484.33</v>
      </c>
      <c r="AD28" s="32">
        <f t="shared" si="27"/>
        <v>72484.33</v>
      </c>
      <c r="AE28" s="4">
        <v>113</v>
      </c>
      <c r="AF28" s="4">
        <f>AJ28+AN28+AR28</f>
        <v>751</v>
      </c>
      <c r="AG28" s="30">
        <v>22634.33</v>
      </c>
      <c r="AH28" s="9">
        <v>22634.33</v>
      </c>
      <c r="AI28" s="4">
        <v>36</v>
      </c>
      <c r="AJ28" s="4">
        <v>236</v>
      </c>
      <c r="AK28" s="30">
        <v>24925</v>
      </c>
      <c r="AL28" s="9">
        <v>14925</v>
      </c>
      <c r="AM28" s="4">
        <v>40</v>
      </c>
      <c r="AN28" s="4">
        <v>258</v>
      </c>
      <c r="AO28" s="30">
        <v>24925</v>
      </c>
      <c r="AP28" s="9">
        <v>34925</v>
      </c>
      <c r="AQ28" s="4">
        <v>38</v>
      </c>
      <c r="AR28" s="4">
        <v>257</v>
      </c>
      <c r="AS28" s="31"/>
      <c r="AT28" s="32">
        <f t="shared" si="28"/>
        <v>69651.25</v>
      </c>
      <c r="AU28" s="32">
        <f t="shared" si="28"/>
        <v>56797</v>
      </c>
      <c r="AV28" s="4">
        <v>100</v>
      </c>
      <c r="AW28" s="4">
        <f t="shared" si="29"/>
        <v>667</v>
      </c>
      <c r="AX28" s="30">
        <v>24925</v>
      </c>
      <c r="AY28" s="9">
        <v>24925</v>
      </c>
      <c r="AZ28" s="4">
        <v>36</v>
      </c>
      <c r="BA28" s="4">
        <v>243</v>
      </c>
      <c r="BB28" s="30">
        <v>24109.5</v>
      </c>
      <c r="BC28" s="9">
        <v>24109.5</v>
      </c>
      <c r="BD28" s="4">
        <v>37</v>
      </c>
      <c r="BE28" s="4">
        <v>230</v>
      </c>
      <c r="BF28" s="30">
        <v>20616.75</v>
      </c>
      <c r="BG28" s="9">
        <v>7762.5</v>
      </c>
      <c r="BH28" s="4">
        <v>30</v>
      </c>
      <c r="BI28" s="4">
        <v>194</v>
      </c>
      <c r="BJ28" s="31"/>
      <c r="BK28" s="32">
        <f t="shared" si="30"/>
        <v>61093.59</v>
      </c>
      <c r="BL28" s="32">
        <f t="shared" si="30"/>
        <v>73981.440000000002</v>
      </c>
      <c r="BM28" s="4">
        <v>99</v>
      </c>
      <c r="BN28" s="4">
        <f>BR28+BV28+BZ28</f>
        <v>626</v>
      </c>
      <c r="BO28" s="9">
        <v>19361.669999999998</v>
      </c>
      <c r="BP28" s="9">
        <v>22664.25</v>
      </c>
      <c r="BQ28" s="5">
        <v>27</v>
      </c>
      <c r="BR28" s="5">
        <v>174</v>
      </c>
      <c r="BS28" s="9">
        <v>24668.62</v>
      </c>
      <c r="BT28" s="9">
        <v>34220.29</v>
      </c>
      <c r="BU28" s="5">
        <v>38</v>
      </c>
      <c r="BV28" s="5">
        <v>239</v>
      </c>
      <c r="BW28" s="9">
        <v>17063.3</v>
      </c>
      <c r="BX28" s="9">
        <v>17096.900000000001</v>
      </c>
      <c r="BY28" s="5">
        <v>36</v>
      </c>
      <c r="BZ28" s="5">
        <v>213</v>
      </c>
      <c r="CA28" s="27"/>
    </row>
    <row r="29" spans="1:79" s="41" customFormat="1" ht="51" customHeight="1" x14ac:dyDescent="0.25">
      <c r="A29" s="22" t="s">
        <v>7</v>
      </c>
      <c r="B29" s="12" t="s">
        <v>27</v>
      </c>
      <c r="C29" s="10">
        <v>15400000</v>
      </c>
      <c r="D29" s="10">
        <v>4744000</v>
      </c>
      <c r="E29" s="24">
        <f>SUM(E30:E32)</f>
        <v>4744000</v>
      </c>
      <c r="F29" s="25">
        <f>K29+AB29+AS29+BJ29</f>
        <v>4744000</v>
      </c>
      <c r="G29" s="26">
        <f>SUM(G30:G32)</f>
        <v>4005975.75</v>
      </c>
      <c r="H29" s="26">
        <f>SUM(H30:H32)</f>
        <v>4740887.1900000004</v>
      </c>
      <c r="I29" s="1">
        <f>SUM(I30:I32)</f>
        <v>20469</v>
      </c>
      <c r="J29" s="1">
        <f>SUM(J30:J32)</f>
        <v>48175</v>
      </c>
      <c r="K29" s="10">
        <v>2300000</v>
      </c>
      <c r="L29" s="26">
        <f t="shared" ref="L29:AA29" si="31">SUM(L30:L32)</f>
        <v>1035226.8400000001</v>
      </c>
      <c r="M29" s="26">
        <f t="shared" si="31"/>
        <v>1027539.6600000001</v>
      </c>
      <c r="N29" s="1">
        <f t="shared" si="31"/>
        <v>9716</v>
      </c>
      <c r="O29" s="1">
        <f t="shared" si="31"/>
        <v>12993</v>
      </c>
      <c r="P29" s="26">
        <f t="shared" si="31"/>
        <v>411769.5</v>
      </c>
      <c r="Q29" s="26">
        <f t="shared" si="31"/>
        <v>228613.78</v>
      </c>
      <c r="R29" s="1">
        <f t="shared" si="31"/>
        <v>4953</v>
      </c>
      <c r="S29" s="1">
        <f t="shared" si="31"/>
        <v>5091</v>
      </c>
      <c r="T29" s="26">
        <f t="shared" si="31"/>
        <v>346643.8</v>
      </c>
      <c r="U29" s="26">
        <f t="shared" si="31"/>
        <v>375352.99000000005</v>
      </c>
      <c r="V29" s="1">
        <f t="shared" si="31"/>
        <v>4491</v>
      </c>
      <c r="W29" s="1">
        <f t="shared" si="31"/>
        <v>4623</v>
      </c>
      <c r="X29" s="26">
        <f t="shared" si="31"/>
        <v>276813.53999999998</v>
      </c>
      <c r="Y29" s="26">
        <f t="shared" si="31"/>
        <v>423572.88999999996</v>
      </c>
      <c r="Z29" s="1">
        <f t="shared" si="31"/>
        <v>3273</v>
      </c>
      <c r="AA29" s="1">
        <f t="shared" si="31"/>
        <v>3279</v>
      </c>
      <c r="AB29" s="10">
        <v>189810</v>
      </c>
      <c r="AC29" s="26">
        <f t="shared" ref="AC29:AR29" si="32">SUM(AC30:AC32)</f>
        <v>1035603.1699999999</v>
      </c>
      <c r="AD29" s="26">
        <f t="shared" si="32"/>
        <v>1271402.49</v>
      </c>
      <c r="AE29" s="1">
        <f t="shared" si="32"/>
        <v>9148</v>
      </c>
      <c r="AF29" s="1">
        <f t="shared" si="32"/>
        <v>12715</v>
      </c>
      <c r="AG29" s="26">
        <f t="shared" si="32"/>
        <v>453129.37</v>
      </c>
      <c r="AH29" s="10">
        <f t="shared" si="32"/>
        <v>352847.65</v>
      </c>
      <c r="AI29" s="1">
        <f t="shared" si="32"/>
        <v>4900</v>
      </c>
      <c r="AJ29" s="1">
        <f t="shared" si="32"/>
        <v>5560</v>
      </c>
      <c r="AK29" s="26">
        <f t="shared" si="32"/>
        <v>335268.59999999998</v>
      </c>
      <c r="AL29" s="10">
        <f t="shared" si="32"/>
        <v>622810.14</v>
      </c>
      <c r="AM29" s="1">
        <f t="shared" si="32"/>
        <v>4165</v>
      </c>
      <c r="AN29" s="1">
        <f t="shared" si="32"/>
        <v>4399</v>
      </c>
      <c r="AO29" s="26">
        <f t="shared" si="32"/>
        <v>247205.2</v>
      </c>
      <c r="AP29" s="10">
        <f t="shared" si="32"/>
        <v>295744.7</v>
      </c>
      <c r="AQ29" s="1">
        <f t="shared" si="32"/>
        <v>2750</v>
      </c>
      <c r="AR29" s="1">
        <f t="shared" si="32"/>
        <v>2756</v>
      </c>
      <c r="AS29" s="10">
        <v>2067990</v>
      </c>
      <c r="AT29" s="26">
        <f t="shared" ref="AT29:BZ29" si="33">SUM(AT30:AT32)</f>
        <v>892457.26</v>
      </c>
      <c r="AU29" s="26">
        <f t="shared" si="33"/>
        <v>1052784.22</v>
      </c>
      <c r="AV29" s="1">
        <f t="shared" si="33"/>
        <v>8410</v>
      </c>
      <c r="AW29" s="1">
        <f t="shared" si="33"/>
        <v>11067</v>
      </c>
      <c r="AX29" s="26">
        <f t="shared" si="33"/>
        <v>385272.97</v>
      </c>
      <c r="AY29" s="10">
        <f t="shared" si="33"/>
        <v>290352.23000000004</v>
      </c>
      <c r="AZ29" s="1">
        <f t="shared" si="33"/>
        <v>4340</v>
      </c>
      <c r="BA29" s="1">
        <f t="shared" si="33"/>
        <v>4792</v>
      </c>
      <c r="BB29" s="26">
        <f t="shared" si="33"/>
        <v>277920.59999999998</v>
      </c>
      <c r="BC29" s="10">
        <f t="shared" si="33"/>
        <v>470816.42</v>
      </c>
      <c r="BD29" s="1">
        <f t="shared" si="33"/>
        <v>3379</v>
      </c>
      <c r="BE29" s="1">
        <f t="shared" si="33"/>
        <v>3396</v>
      </c>
      <c r="BF29" s="26">
        <f t="shared" si="33"/>
        <v>229263.69</v>
      </c>
      <c r="BG29" s="10">
        <f t="shared" si="33"/>
        <v>291615.57</v>
      </c>
      <c r="BH29" s="1">
        <f t="shared" si="33"/>
        <v>2830</v>
      </c>
      <c r="BI29" s="1">
        <f t="shared" si="33"/>
        <v>2879</v>
      </c>
      <c r="BJ29" s="10">
        <v>186200</v>
      </c>
      <c r="BK29" s="26">
        <f t="shared" si="33"/>
        <v>1042688.48</v>
      </c>
      <c r="BL29" s="26">
        <f t="shared" si="33"/>
        <v>1389160.82</v>
      </c>
      <c r="BM29" s="1">
        <f>SUM(BM30:BM32)</f>
        <v>7812</v>
      </c>
      <c r="BN29" s="1">
        <f>SUM(BN30:BN32)</f>
        <v>11400</v>
      </c>
      <c r="BO29" s="10">
        <f t="shared" si="33"/>
        <v>181317.58</v>
      </c>
      <c r="BP29" s="10">
        <f t="shared" si="33"/>
        <v>339069.18</v>
      </c>
      <c r="BQ29" s="2">
        <f t="shared" si="33"/>
        <v>1799</v>
      </c>
      <c r="BR29" s="2">
        <f t="shared" si="33"/>
        <v>1869</v>
      </c>
      <c r="BS29" s="10">
        <f t="shared" si="33"/>
        <v>345396.8</v>
      </c>
      <c r="BT29" s="10">
        <f t="shared" si="33"/>
        <v>150424.35999999999</v>
      </c>
      <c r="BU29" s="2">
        <f>SUM(BU30:BU32)</f>
        <v>3272</v>
      </c>
      <c r="BV29" s="2">
        <f>SUM(BV30:BV32)</f>
        <v>3572</v>
      </c>
      <c r="BW29" s="10">
        <f t="shared" si="33"/>
        <v>515974.1</v>
      </c>
      <c r="BX29" s="10">
        <f t="shared" si="33"/>
        <v>899667.28</v>
      </c>
      <c r="BY29" s="2">
        <f t="shared" si="33"/>
        <v>5028</v>
      </c>
      <c r="BZ29" s="2">
        <f t="shared" si="33"/>
        <v>5959</v>
      </c>
      <c r="CA29" s="27"/>
    </row>
    <row r="30" spans="1:79" s="35" customFormat="1" ht="42" customHeight="1" x14ac:dyDescent="0.25">
      <c r="A30" s="33"/>
      <c r="B30" s="13" t="s">
        <v>28</v>
      </c>
      <c r="C30" s="9"/>
      <c r="D30" s="9"/>
      <c r="E30" s="40">
        <v>4006200</v>
      </c>
      <c r="F30" s="30"/>
      <c r="G30" s="30">
        <f t="shared" ref="G30:H32" si="34">L30+AC30+AT30+BK30</f>
        <v>4005975.75</v>
      </c>
      <c r="H30" s="30">
        <f t="shared" si="34"/>
        <v>4005975.7500000005</v>
      </c>
      <c r="I30" s="4">
        <v>20469</v>
      </c>
      <c r="J30" s="4">
        <f>O30+AF30+AW30+BN30</f>
        <v>48175</v>
      </c>
      <c r="K30" s="31"/>
      <c r="L30" s="32">
        <f t="shared" ref="L30:M32" si="35">P30+T30+X30</f>
        <v>1035226.8400000001</v>
      </c>
      <c r="M30" s="32">
        <f t="shared" si="35"/>
        <v>929595.34000000008</v>
      </c>
      <c r="N30" s="4">
        <v>9716</v>
      </c>
      <c r="O30" s="4">
        <f>S30+W30+AA30</f>
        <v>12993</v>
      </c>
      <c r="P30" s="30">
        <v>411769.5</v>
      </c>
      <c r="Q30" s="30">
        <v>203124.9</v>
      </c>
      <c r="R30" s="4">
        <v>4953</v>
      </c>
      <c r="S30" s="4">
        <v>5091</v>
      </c>
      <c r="T30" s="30">
        <v>346643.8</v>
      </c>
      <c r="U30" s="30">
        <v>336473.4</v>
      </c>
      <c r="V30" s="4">
        <v>4491</v>
      </c>
      <c r="W30" s="4">
        <v>4623</v>
      </c>
      <c r="X30" s="30">
        <v>276813.53999999998</v>
      </c>
      <c r="Y30" s="30">
        <f>389997.04</f>
        <v>389997.04</v>
      </c>
      <c r="Z30" s="4">
        <v>3273</v>
      </c>
      <c r="AA30" s="4">
        <v>3279</v>
      </c>
      <c r="AB30" s="31"/>
      <c r="AC30" s="32">
        <f t="shared" ref="AC30:AD32" si="36">AG30+AK30+AO30</f>
        <v>1035603.1699999999</v>
      </c>
      <c r="AD30" s="4">
        <f t="shared" si="36"/>
        <v>1035156.67</v>
      </c>
      <c r="AE30" s="4">
        <v>9148</v>
      </c>
      <c r="AF30" s="4">
        <f>AJ30+AN30+AR30</f>
        <v>12715</v>
      </c>
      <c r="AG30" s="30">
        <v>453129.37</v>
      </c>
      <c r="AH30" s="9">
        <f>319433.07</f>
        <v>319433.07</v>
      </c>
      <c r="AI30" s="4">
        <v>4900</v>
      </c>
      <c r="AJ30" s="4">
        <v>5560</v>
      </c>
      <c r="AK30" s="30">
        <v>335268.59999999998</v>
      </c>
      <c r="AL30" s="9">
        <f>591028.5-135200</f>
        <v>455828.5</v>
      </c>
      <c r="AM30" s="4">
        <v>4165</v>
      </c>
      <c r="AN30" s="4">
        <v>4399</v>
      </c>
      <c r="AO30" s="30">
        <v>247205.2</v>
      </c>
      <c r="AP30" s="9">
        <v>259895.1</v>
      </c>
      <c r="AQ30" s="4">
        <v>2750</v>
      </c>
      <c r="AR30" s="4">
        <v>2756</v>
      </c>
      <c r="AS30" s="31"/>
      <c r="AT30" s="32">
        <f>AX30+BB30+BF30</f>
        <v>892457.26</v>
      </c>
      <c r="AU30" s="32">
        <f t="shared" ref="AT30:AU32" si="37">AY30+BC30+BG30</f>
        <v>866478.47</v>
      </c>
      <c r="AV30" s="4">
        <v>8410</v>
      </c>
      <c r="AW30" s="4">
        <f>BA30+BE30+BI30</f>
        <v>11067</v>
      </c>
      <c r="AX30" s="30">
        <v>385272.97</v>
      </c>
      <c r="AY30" s="9">
        <f>254514.7-64003.2</f>
        <v>190511.5</v>
      </c>
      <c r="AZ30" s="4">
        <v>4340</v>
      </c>
      <c r="BA30" s="4">
        <v>4792</v>
      </c>
      <c r="BB30" s="30">
        <v>277920.59999999998</v>
      </c>
      <c r="BC30" s="9">
        <f>441218.67</f>
        <v>441218.67</v>
      </c>
      <c r="BD30" s="4">
        <v>3379</v>
      </c>
      <c r="BE30" s="4">
        <v>3396</v>
      </c>
      <c r="BF30" s="30">
        <v>229263.69</v>
      </c>
      <c r="BG30" s="9">
        <f>260207.5-25459.2</f>
        <v>234748.3</v>
      </c>
      <c r="BH30" s="4">
        <v>2830</v>
      </c>
      <c r="BI30" s="4">
        <v>2879</v>
      </c>
      <c r="BJ30" s="31"/>
      <c r="BK30" s="32">
        <f t="shared" ref="BK30:BL32" si="38">BO30+BS30+BW30</f>
        <v>1042688.48</v>
      </c>
      <c r="BL30" s="32">
        <f t="shared" si="38"/>
        <v>1174745.27</v>
      </c>
      <c r="BM30" s="4">
        <v>7812</v>
      </c>
      <c r="BN30" s="4">
        <f>BR30+BV30+BZ30</f>
        <v>11400</v>
      </c>
      <c r="BO30" s="9">
        <v>181317.58</v>
      </c>
      <c r="BP30" s="9">
        <v>193163.78999999998</v>
      </c>
      <c r="BQ30" s="5">
        <v>1799</v>
      </c>
      <c r="BR30" s="5">
        <v>1869</v>
      </c>
      <c r="BS30" s="9">
        <v>345396.8</v>
      </c>
      <c r="BT30" s="9">
        <f>125453.68</f>
        <v>125453.68</v>
      </c>
      <c r="BU30" s="5">
        <v>3272</v>
      </c>
      <c r="BV30" s="5">
        <v>3572</v>
      </c>
      <c r="BW30" s="9">
        <v>515974.1</v>
      </c>
      <c r="BX30" s="9">
        <v>856127.8</v>
      </c>
      <c r="BY30" s="5">
        <v>5028</v>
      </c>
      <c r="BZ30" s="5">
        <v>5959</v>
      </c>
      <c r="CA30" s="27"/>
    </row>
    <row r="31" spans="1:79" s="35" customFormat="1" ht="42" customHeight="1" x14ac:dyDescent="0.25">
      <c r="A31" s="33"/>
      <c r="B31" s="13" t="s">
        <v>29</v>
      </c>
      <c r="C31" s="9"/>
      <c r="D31" s="9"/>
      <c r="E31" s="40">
        <v>341300</v>
      </c>
      <c r="F31" s="30"/>
      <c r="G31" s="30">
        <f t="shared" si="34"/>
        <v>0</v>
      </c>
      <c r="H31" s="30">
        <f t="shared" si="34"/>
        <v>341203.16</v>
      </c>
      <c r="I31" s="4"/>
      <c r="J31" s="4"/>
      <c r="K31" s="31"/>
      <c r="L31" s="32">
        <f t="shared" si="35"/>
        <v>0</v>
      </c>
      <c r="M31" s="32">
        <f t="shared" si="35"/>
        <v>0</v>
      </c>
      <c r="N31" s="4"/>
      <c r="O31" s="4"/>
      <c r="P31" s="30"/>
      <c r="Q31" s="30"/>
      <c r="R31" s="4"/>
      <c r="S31" s="4"/>
      <c r="T31" s="30"/>
      <c r="U31" s="30"/>
      <c r="V31" s="4"/>
      <c r="W31" s="4"/>
      <c r="X31" s="30"/>
      <c r="Y31" s="30"/>
      <c r="Z31" s="4"/>
      <c r="AA31" s="4"/>
      <c r="AB31" s="31"/>
      <c r="AC31" s="32">
        <f t="shared" si="36"/>
        <v>0</v>
      </c>
      <c r="AD31" s="32">
        <f t="shared" si="36"/>
        <v>135200</v>
      </c>
      <c r="AE31" s="4"/>
      <c r="AF31" s="4"/>
      <c r="AG31" s="30"/>
      <c r="AH31" s="9"/>
      <c r="AI31" s="4"/>
      <c r="AJ31" s="4"/>
      <c r="AK31" s="30"/>
      <c r="AL31" s="9">
        <f>67600+183.87+67416.13</f>
        <v>135200</v>
      </c>
      <c r="AM31" s="4"/>
      <c r="AN31" s="4"/>
      <c r="AO31" s="30"/>
      <c r="AP31" s="9"/>
      <c r="AQ31" s="4"/>
      <c r="AR31" s="4"/>
      <c r="AS31" s="31"/>
      <c r="AT31" s="32">
        <f t="shared" si="37"/>
        <v>0</v>
      </c>
      <c r="AU31" s="32">
        <f t="shared" si="37"/>
        <v>89462.399999999994</v>
      </c>
      <c r="AV31" s="4"/>
      <c r="AW31" s="4">
        <f>BA31+BE31+BI31</f>
        <v>0</v>
      </c>
      <c r="AX31" s="30"/>
      <c r="AY31" s="9">
        <f>64003.2</f>
        <v>64003.199999999997</v>
      </c>
      <c r="AZ31" s="4"/>
      <c r="BA31" s="4"/>
      <c r="BB31" s="30"/>
      <c r="BC31" s="9"/>
      <c r="BD31" s="4"/>
      <c r="BE31" s="4"/>
      <c r="BF31" s="30"/>
      <c r="BG31" s="9">
        <f>25459.2</f>
        <v>25459.200000000001</v>
      </c>
      <c r="BH31" s="4"/>
      <c r="BI31" s="4"/>
      <c r="BJ31" s="31"/>
      <c r="BK31" s="32">
        <f t="shared" si="38"/>
        <v>0</v>
      </c>
      <c r="BL31" s="32">
        <f t="shared" si="38"/>
        <v>116540.76</v>
      </c>
      <c r="BM31" s="4"/>
      <c r="BN31" s="4"/>
      <c r="BO31" s="9"/>
      <c r="BP31" s="9">
        <f>38539.2+78001.56</f>
        <v>116540.76</v>
      </c>
      <c r="BQ31" s="5"/>
      <c r="BR31" s="5"/>
      <c r="BS31" s="9"/>
      <c r="BT31" s="9"/>
      <c r="BU31" s="5"/>
      <c r="BV31" s="5"/>
      <c r="BW31" s="9"/>
      <c r="BX31" s="9"/>
      <c r="BY31" s="5"/>
      <c r="BZ31" s="5"/>
      <c r="CA31" s="27"/>
    </row>
    <row r="32" spans="1:79" s="35" customFormat="1" ht="42" customHeight="1" x14ac:dyDescent="0.25">
      <c r="A32" s="33"/>
      <c r="B32" s="3" t="s">
        <v>30</v>
      </c>
      <c r="C32" s="9"/>
      <c r="D32" s="9"/>
      <c r="E32" s="40">
        <v>396500</v>
      </c>
      <c r="F32" s="30"/>
      <c r="G32" s="30">
        <f>L32+AC32+AT32+BK32</f>
        <v>0</v>
      </c>
      <c r="H32" s="30">
        <f t="shared" si="34"/>
        <v>393708.28</v>
      </c>
      <c r="I32" s="4"/>
      <c r="J32" s="4"/>
      <c r="K32" s="31"/>
      <c r="L32" s="32">
        <f>P32+T32+X32</f>
        <v>0</v>
      </c>
      <c r="M32" s="32">
        <f t="shared" si="35"/>
        <v>97944.320000000007</v>
      </c>
      <c r="N32" s="4"/>
      <c r="O32" s="4"/>
      <c r="P32" s="30"/>
      <c r="Q32" s="30">
        <f>14510+35.33+9786.8+573.75+340+243</f>
        <v>25488.879999999997</v>
      </c>
      <c r="R32" s="4"/>
      <c r="S32" s="4"/>
      <c r="T32" s="30"/>
      <c r="U32" s="30">
        <f>14000+35.2+400+21982.22+498+280.62+850+342.55+250+241</f>
        <v>38879.590000000004</v>
      </c>
      <c r="V32" s="4"/>
      <c r="W32" s="4"/>
      <c r="X32" s="30"/>
      <c r="Y32" s="30">
        <f>14283.33+30.8+400+16890.25+416.25+566.67+342.55+250+396</f>
        <v>33575.85</v>
      </c>
      <c r="Z32" s="4"/>
      <c r="AA32" s="4"/>
      <c r="AB32" s="31"/>
      <c r="AC32" s="32">
        <f t="shared" si="36"/>
        <v>0</v>
      </c>
      <c r="AD32" s="32">
        <f t="shared" si="36"/>
        <v>101045.82</v>
      </c>
      <c r="AE32" s="4"/>
      <c r="AF32" s="4"/>
      <c r="AG32" s="30"/>
      <c r="AH32" s="9">
        <f>15077.94+35.2+400+16067.05+375+143.26+581.58+342.55+250+142</f>
        <v>33414.58</v>
      </c>
      <c r="AI32" s="4"/>
      <c r="AJ32" s="4"/>
      <c r="AK32" s="30"/>
      <c r="AL32" s="9">
        <f>14427.27+35.2+400+14237.25+197.25+271.39+1272.73+342.55+250+348</f>
        <v>31781.64</v>
      </c>
      <c r="AM32" s="4"/>
      <c r="AN32" s="4"/>
      <c r="AO32" s="30"/>
      <c r="AP32" s="9">
        <f>15700+44+400+16705.3+0.75+342.55+250+1479+928</f>
        <v>35849.600000000006</v>
      </c>
      <c r="AQ32" s="4"/>
      <c r="AR32" s="4"/>
      <c r="AS32" s="31"/>
      <c r="AT32" s="32">
        <f t="shared" si="37"/>
        <v>0</v>
      </c>
      <c r="AU32" s="32">
        <f t="shared" si="37"/>
        <v>96843.35</v>
      </c>
      <c r="AV32" s="4"/>
      <c r="AW32" s="4">
        <f>BA32+BE32+BI32</f>
        <v>0</v>
      </c>
      <c r="AX32" s="30"/>
      <c r="AY32" s="9">
        <f>15313.64+30.8+400+17956.2+0.75+359.23+386.36+342.55+250+798</f>
        <v>35837.530000000006</v>
      </c>
      <c r="AZ32" s="4"/>
      <c r="BA32" s="4"/>
      <c r="BB32" s="30"/>
      <c r="BC32" s="9">
        <f>15700+35.2+400+12555+342.55+250+315</f>
        <v>29597.75</v>
      </c>
      <c r="BD32" s="4"/>
      <c r="BE32" s="4"/>
      <c r="BF32" s="30"/>
      <c r="BG32" s="9">
        <f>14445+13.2+400+15355+228.32+342.55+250+374</f>
        <v>31408.07</v>
      </c>
      <c r="BH32" s="4"/>
      <c r="BI32" s="4"/>
      <c r="BJ32" s="31"/>
      <c r="BK32" s="32">
        <f t="shared" si="38"/>
        <v>0</v>
      </c>
      <c r="BL32" s="32">
        <f t="shared" si="38"/>
        <v>97874.790000000008</v>
      </c>
      <c r="BM32" s="4"/>
      <c r="BN32" s="4"/>
      <c r="BO32" s="9"/>
      <c r="BP32" s="9">
        <f>14700+1470+133.33+11485.13+1434.78+51.39+90</f>
        <v>29364.629999999997</v>
      </c>
      <c r="BQ32" s="5"/>
      <c r="BR32" s="5"/>
      <c r="BS32" s="9"/>
      <c r="BT32" s="9">
        <f>14467.93+9564.47+797.28+141</f>
        <v>24970.68</v>
      </c>
      <c r="BU32" s="5"/>
      <c r="BV32" s="5"/>
      <c r="BW32" s="9"/>
      <c r="BX32" s="9">
        <f>26714.29+15588.48+285.71+951</f>
        <v>43539.48</v>
      </c>
      <c r="BY32" s="5"/>
      <c r="BZ32" s="5"/>
      <c r="CA32" s="27"/>
    </row>
    <row r="33" spans="1:79" s="28" customFormat="1" ht="42" customHeight="1" x14ac:dyDescent="0.2">
      <c r="A33" s="22" t="s">
        <v>31</v>
      </c>
      <c r="B33" s="23" t="s">
        <v>32</v>
      </c>
      <c r="C33" s="10">
        <v>21000000</v>
      </c>
      <c r="D33" s="10">
        <v>20550700</v>
      </c>
      <c r="E33" s="10">
        <f>SUM(E34:E41)</f>
        <v>20550700</v>
      </c>
      <c r="F33" s="25">
        <f>K33+AB33+AS33+BJ33</f>
        <v>20550700</v>
      </c>
      <c r="G33" s="26">
        <f t="shared" ref="G33:AR33" si="39">SUM(G34:G41)</f>
        <v>20550249.959999997</v>
      </c>
      <c r="H33" s="26">
        <f t="shared" si="39"/>
        <v>20550249.960000001</v>
      </c>
      <c r="I33" s="1">
        <f t="shared" si="39"/>
        <v>29242</v>
      </c>
      <c r="J33" s="1">
        <f t="shared" si="39"/>
        <v>611942</v>
      </c>
      <c r="K33" s="10">
        <v>5250000</v>
      </c>
      <c r="L33" s="26">
        <f t="shared" si="39"/>
        <v>4821043.6999999993</v>
      </c>
      <c r="M33" s="26">
        <f t="shared" si="39"/>
        <v>4780163.7</v>
      </c>
      <c r="N33" s="1">
        <f t="shared" si="39"/>
        <v>19851</v>
      </c>
      <c r="O33" s="1">
        <f t="shared" si="39"/>
        <v>158486</v>
      </c>
      <c r="P33" s="26">
        <f t="shared" si="39"/>
        <v>1354245.3399999999</v>
      </c>
      <c r="Q33" s="26">
        <f t="shared" si="39"/>
        <v>1354245.3399999999</v>
      </c>
      <c r="R33" s="1">
        <f t="shared" si="39"/>
        <v>14034</v>
      </c>
      <c r="S33" s="1">
        <f t="shared" si="39"/>
        <v>53895</v>
      </c>
      <c r="T33" s="26">
        <f t="shared" si="39"/>
        <v>1614445.37</v>
      </c>
      <c r="U33" s="26">
        <f t="shared" si="39"/>
        <v>1059583.02</v>
      </c>
      <c r="V33" s="1">
        <f t="shared" si="39"/>
        <v>9887</v>
      </c>
      <c r="W33" s="1">
        <f t="shared" si="39"/>
        <v>50401</v>
      </c>
      <c r="X33" s="26">
        <f t="shared" si="39"/>
        <v>1852352.99</v>
      </c>
      <c r="Y33" s="26">
        <f t="shared" si="39"/>
        <v>2366335.34</v>
      </c>
      <c r="Z33" s="1">
        <f t="shared" si="39"/>
        <v>14931</v>
      </c>
      <c r="AA33" s="1">
        <f t="shared" si="39"/>
        <v>54190</v>
      </c>
      <c r="AB33" s="10">
        <v>5229050</v>
      </c>
      <c r="AC33" s="26">
        <f t="shared" ref="AC33:AH33" si="40">SUM(AC34:AC41)</f>
        <v>5222679.1100000003</v>
      </c>
      <c r="AD33" s="26">
        <f t="shared" si="40"/>
        <v>5246309.1100000003</v>
      </c>
      <c r="AE33" s="1">
        <f t="shared" si="40"/>
        <v>19625</v>
      </c>
      <c r="AF33" s="1">
        <f t="shared" si="40"/>
        <v>155646</v>
      </c>
      <c r="AG33" s="26">
        <f t="shared" si="40"/>
        <v>1741044.29</v>
      </c>
      <c r="AH33" s="10">
        <f t="shared" si="40"/>
        <v>1425504.29</v>
      </c>
      <c r="AI33" s="1">
        <f t="shared" si="39"/>
        <v>13852</v>
      </c>
      <c r="AJ33" s="1">
        <f t="shared" si="39"/>
        <v>52793</v>
      </c>
      <c r="AK33" s="26">
        <f t="shared" si="39"/>
        <v>1743756.41</v>
      </c>
      <c r="AL33" s="10">
        <f t="shared" si="39"/>
        <v>2065311</v>
      </c>
      <c r="AM33" s="1">
        <f t="shared" si="39"/>
        <v>13783</v>
      </c>
      <c r="AN33" s="1">
        <f t="shared" si="39"/>
        <v>50743</v>
      </c>
      <c r="AO33" s="26">
        <f t="shared" si="39"/>
        <v>1737878.41</v>
      </c>
      <c r="AP33" s="10">
        <f t="shared" si="39"/>
        <v>1755493.82</v>
      </c>
      <c r="AQ33" s="1">
        <f t="shared" si="39"/>
        <v>14121</v>
      </c>
      <c r="AR33" s="1">
        <f t="shared" si="39"/>
        <v>52110</v>
      </c>
      <c r="AS33" s="10">
        <v>5250000</v>
      </c>
      <c r="AT33" s="26">
        <f t="shared" ref="AT33:BZ33" si="41">SUM(AT34:AT41)</f>
        <v>5223355.67</v>
      </c>
      <c r="AU33" s="26">
        <f t="shared" si="41"/>
        <v>5023808.5199999996</v>
      </c>
      <c r="AV33" s="1">
        <f>SUM(AV34:AV41)</f>
        <v>19389</v>
      </c>
      <c r="AW33" s="1">
        <f t="shared" si="41"/>
        <v>149017</v>
      </c>
      <c r="AX33" s="26">
        <f t="shared" si="41"/>
        <v>1712418.41</v>
      </c>
      <c r="AY33" s="10">
        <f t="shared" si="41"/>
        <v>1656113</v>
      </c>
      <c r="AZ33" s="1">
        <f t="shared" si="41"/>
        <v>13959</v>
      </c>
      <c r="BA33" s="1">
        <f t="shared" si="41"/>
        <v>49446</v>
      </c>
      <c r="BB33" s="26">
        <f t="shared" si="41"/>
        <v>1741976.8599999999</v>
      </c>
      <c r="BC33" s="10">
        <f t="shared" si="41"/>
        <v>1794171</v>
      </c>
      <c r="BD33" s="1">
        <f t="shared" si="41"/>
        <v>13892</v>
      </c>
      <c r="BE33" s="1">
        <f t="shared" si="41"/>
        <v>50670</v>
      </c>
      <c r="BF33" s="26">
        <f t="shared" si="41"/>
        <v>1768960.4</v>
      </c>
      <c r="BG33" s="10">
        <f t="shared" si="41"/>
        <v>1573524.52</v>
      </c>
      <c r="BH33" s="1">
        <f>SUM(BH34:BH41)</f>
        <v>13098</v>
      </c>
      <c r="BI33" s="1">
        <f t="shared" si="41"/>
        <v>48901</v>
      </c>
      <c r="BJ33" s="10">
        <v>4821650</v>
      </c>
      <c r="BK33" s="26">
        <f t="shared" si="41"/>
        <v>5283171.4799999995</v>
      </c>
      <c r="BL33" s="26">
        <f t="shared" si="41"/>
        <v>5499968.6299999999</v>
      </c>
      <c r="BM33" s="1">
        <f>SUM(BM34:BM41)</f>
        <v>19752</v>
      </c>
      <c r="BN33" s="1">
        <f>SUM(BN34:BN41)</f>
        <v>148793</v>
      </c>
      <c r="BO33" s="10">
        <f t="shared" si="41"/>
        <v>1750757.9899999998</v>
      </c>
      <c r="BP33" s="10">
        <f t="shared" si="41"/>
        <v>1920928.1400000001</v>
      </c>
      <c r="BQ33" s="2">
        <f t="shared" si="41"/>
        <v>13484</v>
      </c>
      <c r="BR33" s="2">
        <f t="shared" si="41"/>
        <v>48870</v>
      </c>
      <c r="BS33" s="10">
        <f t="shared" si="41"/>
        <v>1765830.0699999998</v>
      </c>
      <c r="BT33" s="10">
        <f t="shared" si="41"/>
        <v>1807815.0699999998</v>
      </c>
      <c r="BU33" s="2">
        <f>SUM(BU34:BU41)</f>
        <v>14265</v>
      </c>
      <c r="BV33" s="2">
        <f>SUM(BV34:BV41)</f>
        <v>50959</v>
      </c>
      <c r="BW33" s="10">
        <f t="shared" si="41"/>
        <v>1766583.42</v>
      </c>
      <c r="BX33" s="10">
        <f t="shared" si="41"/>
        <v>1771225.42</v>
      </c>
      <c r="BY33" s="2">
        <f t="shared" si="41"/>
        <v>13580</v>
      </c>
      <c r="BZ33" s="2">
        <f t="shared" si="41"/>
        <v>48964</v>
      </c>
      <c r="CA33" s="27"/>
    </row>
    <row r="34" spans="1:79" s="35" customFormat="1" ht="42" customHeight="1" x14ac:dyDescent="0.25">
      <c r="A34" s="33"/>
      <c r="B34" s="11" t="s">
        <v>111</v>
      </c>
      <c r="C34" s="9"/>
      <c r="D34" s="9"/>
      <c r="E34" s="9">
        <v>5557600</v>
      </c>
      <c r="F34" s="30"/>
      <c r="G34" s="30">
        <f t="shared" ref="G34:H41" si="42">L34+AC34+AT34+BK34</f>
        <v>5557545.04</v>
      </c>
      <c r="H34" s="30">
        <f t="shared" si="42"/>
        <v>5557545.04</v>
      </c>
      <c r="I34" s="30">
        <v>22867</v>
      </c>
      <c r="J34" s="4">
        <f t="shared" ref="J34:J41" si="43">O34+AF34+AW34+BN34</f>
        <v>143973</v>
      </c>
      <c r="K34" s="31"/>
      <c r="L34" s="32">
        <f t="shared" ref="L34:M41" si="44">P34+T34+X34</f>
        <v>1202625.0499999998</v>
      </c>
      <c r="M34" s="32">
        <f t="shared" si="44"/>
        <v>1178245.05</v>
      </c>
      <c r="N34" s="4">
        <v>16886</v>
      </c>
      <c r="O34" s="4">
        <f>S34+W34+AA34</f>
        <v>37175</v>
      </c>
      <c r="P34" s="30">
        <v>238774</v>
      </c>
      <c r="Q34" s="30">
        <v>238774</v>
      </c>
      <c r="R34" s="4">
        <v>12124</v>
      </c>
      <c r="S34" s="4">
        <v>12855</v>
      </c>
      <c r="T34" s="30">
        <v>339929.35</v>
      </c>
      <c r="U34" s="30">
        <v>32620</v>
      </c>
      <c r="V34" s="4">
        <v>7898</v>
      </c>
      <c r="W34" s="4">
        <v>8377</v>
      </c>
      <c r="X34" s="30">
        <v>623921.69999999995</v>
      </c>
      <c r="Y34" s="30">
        <v>906851.05</v>
      </c>
      <c r="Z34" s="4">
        <v>12865</v>
      </c>
      <c r="AA34" s="4">
        <v>15943</v>
      </c>
      <c r="AB34" s="31"/>
      <c r="AC34" s="32">
        <f t="shared" ref="AC34:AD41" si="45">AG34+AK34+AO34</f>
        <v>1451640</v>
      </c>
      <c r="AD34" s="32">
        <f t="shared" si="45"/>
        <v>1476020</v>
      </c>
      <c r="AE34" s="4">
        <v>16520</v>
      </c>
      <c r="AF34" s="4">
        <f>AJ34+AN34+AR34</f>
        <v>36062</v>
      </c>
      <c r="AG34" s="30">
        <v>483880</v>
      </c>
      <c r="AH34" s="9">
        <v>296900</v>
      </c>
      <c r="AI34" s="4">
        <v>11714</v>
      </c>
      <c r="AJ34" s="4">
        <v>12022</v>
      </c>
      <c r="AK34" s="30">
        <v>483880</v>
      </c>
      <c r="AL34" s="9">
        <v>695240</v>
      </c>
      <c r="AM34" s="4">
        <v>11741</v>
      </c>
      <c r="AN34" s="4">
        <v>11875</v>
      </c>
      <c r="AO34" s="30">
        <v>483880</v>
      </c>
      <c r="AP34" s="9">
        <v>483880</v>
      </c>
      <c r="AQ34" s="4">
        <v>12031</v>
      </c>
      <c r="AR34" s="4">
        <v>12165</v>
      </c>
      <c r="AS34" s="31"/>
      <c r="AT34" s="32">
        <f t="shared" ref="AT34:AU41" si="46">AX34+BB34+BF34</f>
        <v>1451639.99</v>
      </c>
      <c r="AU34" s="32">
        <f t="shared" si="46"/>
        <v>1349488.7</v>
      </c>
      <c r="AV34" s="4">
        <v>16274</v>
      </c>
      <c r="AW34" s="4">
        <f t="shared" ref="AW34:AW41" si="47">BA34+BE34+BI34</f>
        <v>35148</v>
      </c>
      <c r="AX34" s="30">
        <v>483880</v>
      </c>
      <c r="AY34" s="9">
        <v>463680</v>
      </c>
      <c r="AZ34" s="4">
        <v>11910</v>
      </c>
      <c r="BA34" s="4">
        <v>12052</v>
      </c>
      <c r="BB34" s="30">
        <v>483880</v>
      </c>
      <c r="BC34" s="9">
        <v>504080</v>
      </c>
      <c r="BD34" s="4">
        <v>11776</v>
      </c>
      <c r="BE34" s="4">
        <v>11920</v>
      </c>
      <c r="BF34" s="30">
        <v>483879.99</v>
      </c>
      <c r="BG34" s="9">
        <v>381728.7</v>
      </c>
      <c r="BH34" s="4">
        <v>11041</v>
      </c>
      <c r="BI34" s="4">
        <v>11176</v>
      </c>
      <c r="BJ34" s="31"/>
      <c r="BK34" s="32">
        <f t="shared" ref="BK34:BL41" si="48">BO34+BS34+BW34</f>
        <v>1451640</v>
      </c>
      <c r="BL34" s="32">
        <f t="shared" si="48"/>
        <v>1553791.29</v>
      </c>
      <c r="BM34" s="4">
        <v>16751</v>
      </c>
      <c r="BN34" s="4">
        <f t="shared" ref="BN34:BN41" si="49">BR34+BV34+BZ34</f>
        <v>35588</v>
      </c>
      <c r="BO34" s="9">
        <v>483880</v>
      </c>
      <c r="BP34" s="9">
        <v>565831.29</v>
      </c>
      <c r="BQ34" s="5">
        <v>11459</v>
      </c>
      <c r="BR34" s="5">
        <v>11591</v>
      </c>
      <c r="BS34" s="9">
        <v>483880</v>
      </c>
      <c r="BT34" s="9">
        <v>500560</v>
      </c>
      <c r="BU34" s="5">
        <v>12171</v>
      </c>
      <c r="BV34" s="5">
        <v>12336</v>
      </c>
      <c r="BW34" s="9">
        <v>483880</v>
      </c>
      <c r="BX34" s="9">
        <v>487400</v>
      </c>
      <c r="BY34" s="5">
        <v>11517</v>
      </c>
      <c r="BZ34" s="5">
        <v>11661</v>
      </c>
      <c r="CA34" s="27"/>
    </row>
    <row r="35" spans="1:79" s="35" customFormat="1" ht="42" customHeight="1" x14ac:dyDescent="0.25">
      <c r="A35" s="33"/>
      <c r="B35" s="11" t="s">
        <v>112</v>
      </c>
      <c r="C35" s="9"/>
      <c r="D35" s="9"/>
      <c r="E35" s="9">
        <v>77700</v>
      </c>
      <c r="F35" s="30"/>
      <c r="G35" s="30">
        <f t="shared" si="42"/>
        <v>77668.010000000009</v>
      </c>
      <c r="H35" s="30">
        <f t="shared" si="42"/>
        <v>77668.010000000009</v>
      </c>
      <c r="I35" s="4">
        <v>74</v>
      </c>
      <c r="J35" s="4">
        <f t="shared" si="43"/>
        <v>1368</v>
      </c>
      <c r="K35" s="31"/>
      <c r="L35" s="32">
        <f t="shared" si="44"/>
        <v>18898.010000000002</v>
      </c>
      <c r="M35" s="32">
        <f t="shared" si="44"/>
        <v>18898.010000000002</v>
      </c>
      <c r="N35" s="4">
        <v>51</v>
      </c>
      <c r="O35" s="4">
        <f t="shared" ref="O35:O44" si="50">S35+W35+AA35</f>
        <v>409</v>
      </c>
      <c r="P35" s="30">
        <v>5838.01</v>
      </c>
      <c r="Q35" s="30">
        <v>5838.01</v>
      </c>
      <c r="R35" s="4">
        <v>50</v>
      </c>
      <c r="S35" s="4">
        <v>148</v>
      </c>
      <c r="T35" s="30">
        <v>6530</v>
      </c>
      <c r="U35" s="30">
        <v>2070</v>
      </c>
      <c r="V35" s="4">
        <v>51</v>
      </c>
      <c r="W35" s="4">
        <v>148</v>
      </c>
      <c r="X35" s="30">
        <v>6530</v>
      </c>
      <c r="Y35" s="30">
        <v>10990</v>
      </c>
      <c r="Z35" s="4">
        <v>51</v>
      </c>
      <c r="AA35" s="4">
        <v>113</v>
      </c>
      <c r="AB35" s="31"/>
      <c r="AC35" s="32">
        <f t="shared" si="45"/>
        <v>19590</v>
      </c>
      <c r="AD35" s="32">
        <f t="shared" si="45"/>
        <v>19590</v>
      </c>
      <c r="AE35" s="4">
        <v>56</v>
      </c>
      <c r="AF35" s="4">
        <f t="shared" ref="AF35:AF44" si="51">AJ35+AN35+AR35</f>
        <v>327</v>
      </c>
      <c r="AG35" s="30">
        <v>6530</v>
      </c>
      <c r="AH35" s="9">
        <v>6530</v>
      </c>
      <c r="AI35" s="4">
        <v>50</v>
      </c>
      <c r="AJ35" s="4">
        <v>111</v>
      </c>
      <c r="AK35" s="30">
        <v>6530</v>
      </c>
      <c r="AL35" s="9">
        <v>6530</v>
      </c>
      <c r="AM35" s="4">
        <v>49</v>
      </c>
      <c r="AN35" s="4">
        <v>108</v>
      </c>
      <c r="AO35" s="30">
        <v>6530</v>
      </c>
      <c r="AP35" s="9">
        <v>6530</v>
      </c>
      <c r="AQ35" s="4">
        <v>49</v>
      </c>
      <c r="AR35" s="4">
        <v>108</v>
      </c>
      <c r="AS35" s="31"/>
      <c r="AT35" s="32">
        <f t="shared" si="46"/>
        <v>19590</v>
      </c>
      <c r="AU35" s="32">
        <f t="shared" si="46"/>
        <v>17360</v>
      </c>
      <c r="AV35" s="4">
        <v>49</v>
      </c>
      <c r="AW35" s="4">
        <f t="shared" si="47"/>
        <v>324</v>
      </c>
      <c r="AX35" s="30">
        <v>6530</v>
      </c>
      <c r="AY35" s="9">
        <v>6530</v>
      </c>
      <c r="AZ35" s="4">
        <v>49</v>
      </c>
      <c r="BA35" s="4">
        <v>108</v>
      </c>
      <c r="BB35" s="30">
        <v>6530</v>
      </c>
      <c r="BC35" s="9">
        <v>6530</v>
      </c>
      <c r="BD35" s="4">
        <v>49</v>
      </c>
      <c r="BE35" s="4">
        <v>108</v>
      </c>
      <c r="BF35" s="30">
        <v>6530</v>
      </c>
      <c r="BG35" s="9">
        <v>4300</v>
      </c>
      <c r="BH35" s="4">
        <v>49</v>
      </c>
      <c r="BI35" s="4">
        <v>108</v>
      </c>
      <c r="BJ35" s="31"/>
      <c r="BK35" s="32">
        <f t="shared" si="48"/>
        <v>19590</v>
      </c>
      <c r="BL35" s="32">
        <f t="shared" si="48"/>
        <v>21820</v>
      </c>
      <c r="BM35" s="4">
        <v>53</v>
      </c>
      <c r="BN35" s="4">
        <f t="shared" si="49"/>
        <v>308</v>
      </c>
      <c r="BO35" s="9">
        <v>6530</v>
      </c>
      <c r="BP35" s="9">
        <v>8760</v>
      </c>
      <c r="BQ35" s="5">
        <v>48</v>
      </c>
      <c r="BR35" s="5">
        <v>104</v>
      </c>
      <c r="BS35" s="9">
        <v>6530</v>
      </c>
      <c r="BT35" s="9">
        <v>6530</v>
      </c>
      <c r="BU35" s="5">
        <v>47</v>
      </c>
      <c r="BV35" s="5">
        <v>102</v>
      </c>
      <c r="BW35" s="9">
        <v>6530</v>
      </c>
      <c r="BX35" s="9">
        <v>6530</v>
      </c>
      <c r="BY35" s="5">
        <v>46</v>
      </c>
      <c r="BZ35" s="5">
        <v>102</v>
      </c>
      <c r="CA35" s="27"/>
    </row>
    <row r="36" spans="1:79" s="35" customFormat="1" ht="42" customHeight="1" x14ac:dyDescent="0.25">
      <c r="A36" s="33"/>
      <c r="B36" s="11" t="s">
        <v>113</v>
      </c>
      <c r="C36" s="9"/>
      <c r="D36" s="9"/>
      <c r="E36" s="9">
        <v>130900</v>
      </c>
      <c r="F36" s="30"/>
      <c r="G36" s="30">
        <f t="shared" si="42"/>
        <v>130835.84999999999</v>
      </c>
      <c r="H36" s="30">
        <f t="shared" si="42"/>
        <v>131603.85999999999</v>
      </c>
      <c r="I36" s="4">
        <v>330</v>
      </c>
      <c r="J36" s="4">
        <f t="shared" si="43"/>
        <v>330</v>
      </c>
      <c r="K36" s="31"/>
      <c r="L36" s="32">
        <f t="shared" si="44"/>
        <v>36380.28</v>
      </c>
      <c r="M36" s="32">
        <f t="shared" si="44"/>
        <v>36380.28</v>
      </c>
      <c r="N36" s="4">
        <v>85</v>
      </c>
      <c r="O36" s="4">
        <f t="shared" si="50"/>
        <v>85</v>
      </c>
      <c r="P36" s="30">
        <v>12411.72</v>
      </c>
      <c r="Q36" s="30">
        <v>12411.72</v>
      </c>
      <c r="R36" s="4">
        <v>29</v>
      </c>
      <c r="S36" s="4">
        <v>29</v>
      </c>
      <c r="T36" s="30">
        <v>11556.27</v>
      </c>
      <c r="U36" s="30">
        <v>11556.27</v>
      </c>
      <c r="V36" s="4">
        <v>27</v>
      </c>
      <c r="W36" s="4">
        <v>27</v>
      </c>
      <c r="X36" s="30">
        <v>12412.29</v>
      </c>
      <c r="Y36" s="30">
        <v>12412.29</v>
      </c>
      <c r="Z36" s="4">
        <v>29</v>
      </c>
      <c r="AA36" s="4">
        <v>29</v>
      </c>
      <c r="AB36" s="31"/>
      <c r="AC36" s="32">
        <f t="shared" si="45"/>
        <v>32923.11</v>
      </c>
      <c r="AD36" s="32">
        <f t="shared" si="45"/>
        <v>32923.11</v>
      </c>
      <c r="AE36" s="4">
        <v>83</v>
      </c>
      <c r="AF36" s="4">
        <f t="shared" si="51"/>
        <v>83</v>
      </c>
      <c r="AG36" s="30">
        <v>12412.29</v>
      </c>
      <c r="AH36" s="9">
        <v>12412.29</v>
      </c>
      <c r="AI36" s="4">
        <v>29</v>
      </c>
      <c r="AJ36" s="4">
        <v>29</v>
      </c>
      <c r="AK36" s="30">
        <v>10255.41</v>
      </c>
      <c r="AL36" s="9"/>
      <c r="AM36" s="4">
        <v>27</v>
      </c>
      <c r="AN36" s="4">
        <v>27</v>
      </c>
      <c r="AO36" s="30">
        <v>10255.41</v>
      </c>
      <c r="AP36" s="9">
        <v>20510.82</v>
      </c>
      <c r="AQ36" s="4">
        <v>27</v>
      </c>
      <c r="AR36" s="4">
        <v>27</v>
      </c>
      <c r="AS36" s="31"/>
      <c r="AT36" s="32">
        <f t="shared" si="46"/>
        <v>30766.23</v>
      </c>
      <c r="AU36" s="32">
        <f t="shared" si="46"/>
        <v>20510.82</v>
      </c>
      <c r="AV36" s="4">
        <v>81</v>
      </c>
      <c r="AW36" s="4">
        <f t="shared" si="47"/>
        <v>81</v>
      </c>
      <c r="AX36" s="30">
        <v>10255.41</v>
      </c>
      <c r="AY36" s="9"/>
      <c r="AZ36" s="4">
        <v>27</v>
      </c>
      <c r="BA36" s="4">
        <v>27</v>
      </c>
      <c r="BB36" s="30">
        <v>10255.41</v>
      </c>
      <c r="BC36" s="9"/>
      <c r="BD36" s="4">
        <v>27</v>
      </c>
      <c r="BE36" s="4">
        <v>27</v>
      </c>
      <c r="BF36" s="30">
        <v>10255.41</v>
      </c>
      <c r="BG36" s="9">
        <v>20510.82</v>
      </c>
      <c r="BH36" s="4">
        <v>27</v>
      </c>
      <c r="BI36" s="4">
        <v>27</v>
      </c>
      <c r="BJ36" s="31"/>
      <c r="BK36" s="32">
        <f t="shared" si="48"/>
        <v>30766.23</v>
      </c>
      <c r="BL36" s="32">
        <f t="shared" si="48"/>
        <v>41789.65</v>
      </c>
      <c r="BM36" s="4">
        <v>81</v>
      </c>
      <c r="BN36" s="4">
        <f t="shared" si="49"/>
        <v>81</v>
      </c>
      <c r="BO36" s="9">
        <v>10255.41</v>
      </c>
      <c r="BP36" s="9">
        <v>20510.82</v>
      </c>
      <c r="BQ36" s="5">
        <v>27</v>
      </c>
      <c r="BR36" s="5">
        <v>27</v>
      </c>
      <c r="BS36" s="9">
        <v>10255.41</v>
      </c>
      <c r="BT36" s="9">
        <v>10255.41</v>
      </c>
      <c r="BU36" s="5">
        <v>27</v>
      </c>
      <c r="BV36" s="5">
        <v>27</v>
      </c>
      <c r="BW36" s="9">
        <v>10255.41</v>
      </c>
      <c r="BX36" s="9">
        <v>11023.42</v>
      </c>
      <c r="BY36" s="5">
        <v>27</v>
      </c>
      <c r="BZ36" s="5">
        <v>27</v>
      </c>
      <c r="CA36" s="27"/>
    </row>
    <row r="37" spans="1:79" s="35" customFormat="1" ht="42" customHeight="1" x14ac:dyDescent="0.25">
      <c r="A37" s="33"/>
      <c r="B37" s="11" t="s">
        <v>114</v>
      </c>
      <c r="C37" s="9"/>
      <c r="D37" s="9"/>
      <c r="E37" s="9">
        <v>662300</v>
      </c>
      <c r="F37" s="30"/>
      <c r="G37" s="30">
        <f t="shared" si="42"/>
        <v>662240.66</v>
      </c>
      <c r="H37" s="30">
        <f t="shared" si="42"/>
        <v>662240.66</v>
      </c>
      <c r="I37" s="4">
        <v>607</v>
      </c>
      <c r="J37" s="4">
        <f t="shared" si="43"/>
        <v>1944</v>
      </c>
      <c r="K37" s="31"/>
      <c r="L37" s="32">
        <f t="shared" si="44"/>
        <v>165570</v>
      </c>
      <c r="M37" s="32">
        <f t="shared" si="44"/>
        <v>165570</v>
      </c>
      <c r="N37" s="4">
        <v>201</v>
      </c>
      <c r="O37" s="4">
        <f t="shared" si="50"/>
        <v>560</v>
      </c>
      <c r="P37" s="30">
        <v>55190</v>
      </c>
      <c r="Q37" s="30">
        <v>55190</v>
      </c>
      <c r="R37" s="4">
        <v>98</v>
      </c>
      <c r="S37" s="4">
        <v>176</v>
      </c>
      <c r="T37" s="30">
        <v>55190</v>
      </c>
      <c r="U37" s="30">
        <v>30380</v>
      </c>
      <c r="V37" s="4">
        <v>110</v>
      </c>
      <c r="W37" s="4">
        <v>212</v>
      </c>
      <c r="X37" s="30">
        <v>55190</v>
      </c>
      <c r="Y37" s="30">
        <v>80000</v>
      </c>
      <c r="Z37" s="4">
        <v>124</v>
      </c>
      <c r="AA37" s="4">
        <v>172</v>
      </c>
      <c r="AB37" s="31"/>
      <c r="AC37" s="32">
        <f t="shared" si="45"/>
        <v>165570</v>
      </c>
      <c r="AD37" s="32">
        <f t="shared" si="45"/>
        <v>165570</v>
      </c>
      <c r="AE37" s="4">
        <v>232</v>
      </c>
      <c r="AF37" s="4">
        <f t="shared" si="51"/>
        <v>514</v>
      </c>
      <c r="AG37" s="30">
        <v>55190</v>
      </c>
      <c r="AH37" s="9">
        <v>41870</v>
      </c>
      <c r="AI37" s="4">
        <v>144</v>
      </c>
      <c r="AJ37" s="4">
        <v>192</v>
      </c>
      <c r="AK37" s="30">
        <v>55190</v>
      </c>
      <c r="AL37" s="9">
        <v>68510</v>
      </c>
      <c r="AM37" s="4">
        <v>119</v>
      </c>
      <c r="AN37" s="4">
        <v>160</v>
      </c>
      <c r="AO37" s="30">
        <v>55190</v>
      </c>
      <c r="AP37" s="9">
        <v>55190</v>
      </c>
      <c r="AQ37" s="4">
        <v>113</v>
      </c>
      <c r="AR37" s="4">
        <v>162</v>
      </c>
      <c r="AS37" s="31"/>
      <c r="AT37" s="32">
        <f t="shared" si="46"/>
        <v>165570</v>
      </c>
      <c r="AU37" s="32">
        <f t="shared" si="46"/>
        <v>140760</v>
      </c>
      <c r="AV37" s="4">
        <v>206</v>
      </c>
      <c r="AW37" s="4">
        <f t="shared" si="47"/>
        <v>464</v>
      </c>
      <c r="AX37" s="30">
        <v>55190</v>
      </c>
      <c r="AY37" s="9">
        <v>55190</v>
      </c>
      <c r="AZ37" s="4">
        <v>111</v>
      </c>
      <c r="BA37" s="4">
        <v>161</v>
      </c>
      <c r="BB37" s="30">
        <v>55190</v>
      </c>
      <c r="BC37" s="9">
        <v>55190</v>
      </c>
      <c r="BD37" s="4">
        <v>115</v>
      </c>
      <c r="BE37" s="4">
        <v>159</v>
      </c>
      <c r="BF37" s="30">
        <v>55190</v>
      </c>
      <c r="BG37" s="9">
        <v>30380</v>
      </c>
      <c r="BH37" s="4">
        <v>104</v>
      </c>
      <c r="BI37" s="4">
        <v>144</v>
      </c>
      <c r="BJ37" s="31"/>
      <c r="BK37" s="32">
        <f t="shared" si="48"/>
        <v>165530.66</v>
      </c>
      <c r="BL37" s="32">
        <f t="shared" si="48"/>
        <v>190340.66</v>
      </c>
      <c r="BM37" s="4">
        <v>181</v>
      </c>
      <c r="BN37" s="4">
        <f t="shared" si="49"/>
        <v>406</v>
      </c>
      <c r="BO37" s="9">
        <v>55190</v>
      </c>
      <c r="BP37" s="9">
        <v>80000</v>
      </c>
      <c r="BQ37" s="5">
        <v>101</v>
      </c>
      <c r="BR37" s="5">
        <v>141</v>
      </c>
      <c r="BS37" s="9">
        <v>55150.66</v>
      </c>
      <c r="BT37" s="9">
        <v>55150.66</v>
      </c>
      <c r="BU37" s="5">
        <v>97</v>
      </c>
      <c r="BV37" s="5">
        <v>133</v>
      </c>
      <c r="BW37" s="9">
        <v>55190</v>
      </c>
      <c r="BX37" s="9">
        <v>55190</v>
      </c>
      <c r="BY37" s="5">
        <v>98</v>
      </c>
      <c r="BZ37" s="5">
        <v>132</v>
      </c>
      <c r="CA37" s="27"/>
    </row>
    <row r="38" spans="1:79" s="35" customFormat="1" ht="42" customHeight="1" x14ac:dyDescent="0.25">
      <c r="A38" s="33"/>
      <c r="B38" s="11" t="s">
        <v>115</v>
      </c>
      <c r="C38" s="9"/>
      <c r="D38" s="9"/>
      <c r="E38" s="9">
        <v>772000</v>
      </c>
      <c r="F38" s="30"/>
      <c r="G38" s="30">
        <f t="shared" si="42"/>
        <v>771950</v>
      </c>
      <c r="H38" s="30">
        <f t="shared" si="42"/>
        <v>771950</v>
      </c>
      <c r="I38" s="4">
        <v>424</v>
      </c>
      <c r="J38" s="4">
        <f t="shared" si="43"/>
        <v>7463</v>
      </c>
      <c r="K38" s="31"/>
      <c r="L38" s="32">
        <f t="shared" si="44"/>
        <v>132950</v>
      </c>
      <c r="M38" s="32">
        <f t="shared" si="44"/>
        <v>132950</v>
      </c>
      <c r="N38" s="4">
        <v>243</v>
      </c>
      <c r="O38" s="4">
        <f t="shared" si="50"/>
        <v>1024</v>
      </c>
      <c r="P38" s="30">
        <v>19350</v>
      </c>
      <c r="Q38" s="30">
        <v>19350</v>
      </c>
      <c r="R38" s="4">
        <v>112</v>
      </c>
      <c r="S38" s="4">
        <v>220</v>
      </c>
      <c r="T38" s="30">
        <v>56800</v>
      </c>
      <c r="U38" s="30">
        <v>42600</v>
      </c>
      <c r="V38" s="4">
        <v>190</v>
      </c>
      <c r="W38" s="4">
        <v>366</v>
      </c>
      <c r="X38" s="30">
        <v>56800</v>
      </c>
      <c r="Y38" s="30">
        <v>71000</v>
      </c>
      <c r="Z38" s="4">
        <v>232</v>
      </c>
      <c r="AA38" s="4">
        <v>438</v>
      </c>
      <c r="AB38" s="31"/>
      <c r="AC38" s="32">
        <f t="shared" si="45"/>
        <v>184600</v>
      </c>
      <c r="AD38" s="32">
        <f t="shared" si="45"/>
        <v>184600</v>
      </c>
      <c r="AE38" s="4">
        <v>314</v>
      </c>
      <c r="AF38" s="4">
        <f t="shared" si="51"/>
        <v>1632</v>
      </c>
      <c r="AG38" s="30">
        <v>56800</v>
      </c>
      <c r="AH38" s="9">
        <v>56800</v>
      </c>
      <c r="AI38" s="4">
        <v>258</v>
      </c>
      <c r="AJ38" s="4">
        <v>485</v>
      </c>
      <c r="AK38" s="30">
        <v>56800</v>
      </c>
      <c r="AL38" s="9">
        <v>56800</v>
      </c>
      <c r="AM38" s="4">
        <v>275</v>
      </c>
      <c r="AN38" s="4">
        <v>550</v>
      </c>
      <c r="AO38" s="30">
        <v>71000</v>
      </c>
      <c r="AP38" s="9">
        <v>71000</v>
      </c>
      <c r="AQ38" s="4">
        <v>306</v>
      </c>
      <c r="AR38" s="4">
        <v>597</v>
      </c>
      <c r="AS38" s="31"/>
      <c r="AT38" s="32">
        <f t="shared" si="46"/>
        <v>220100</v>
      </c>
      <c r="AU38" s="32">
        <f t="shared" si="46"/>
        <v>198800</v>
      </c>
      <c r="AV38" s="4">
        <v>361</v>
      </c>
      <c r="AW38" s="4">
        <f t="shared" si="47"/>
        <v>2176</v>
      </c>
      <c r="AX38" s="30">
        <v>71000</v>
      </c>
      <c r="AY38" s="9">
        <v>71000</v>
      </c>
      <c r="AZ38" s="4">
        <v>318</v>
      </c>
      <c r="BA38" s="4">
        <v>667</v>
      </c>
      <c r="BB38" s="30">
        <v>71000</v>
      </c>
      <c r="BC38" s="9">
        <v>71000</v>
      </c>
      <c r="BD38" s="4">
        <v>326</v>
      </c>
      <c r="BE38" s="4">
        <v>722</v>
      </c>
      <c r="BF38" s="30">
        <v>78100</v>
      </c>
      <c r="BG38" s="9">
        <v>56800</v>
      </c>
      <c r="BH38" s="4">
        <v>343</v>
      </c>
      <c r="BI38" s="4">
        <v>787</v>
      </c>
      <c r="BJ38" s="31"/>
      <c r="BK38" s="32">
        <f t="shared" si="48"/>
        <v>234300</v>
      </c>
      <c r="BL38" s="32">
        <f t="shared" si="48"/>
        <v>255600</v>
      </c>
      <c r="BM38" s="4">
        <v>387</v>
      </c>
      <c r="BN38" s="4">
        <f t="shared" si="49"/>
        <v>2631</v>
      </c>
      <c r="BO38" s="9">
        <v>78100</v>
      </c>
      <c r="BP38" s="9">
        <v>99400</v>
      </c>
      <c r="BQ38" s="5">
        <v>359</v>
      </c>
      <c r="BR38" s="5">
        <v>844</v>
      </c>
      <c r="BS38" s="9">
        <v>78100</v>
      </c>
      <c r="BT38" s="9">
        <v>78100</v>
      </c>
      <c r="BU38" s="5">
        <v>362</v>
      </c>
      <c r="BV38" s="5">
        <v>862</v>
      </c>
      <c r="BW38" s="9">
        <v>78100</v>
      </c>
      <c r="BX38" s="9">
        <v>78100</v>
      </c>
      <c r="BY38" s="5">
        <v>372</v>
      </c>
      <c r="BZ38" s="5">
        <v>925</v>
      </c>
      <c r="CA38" s="27"/>
    </row>
    <row r="39" spans="1:79" s="35" customFormat="1" ht="42" customHeight="1" x14ac:dyDescent="0.25">
      <c r="A39" s="33"/>
      <c r="B39" s="3" t="s">
        <v>116</v>
      </c>
      <c r="C39" s="9"/>
      <c r="D39" s="9"/>
      <c r="E39" s="9">
        <v>12432300</v>
      </c>
      <c r="F39" s="30"/>
      <c r="G39" s="30">
        <f t="shared" si="42"/>
        <v>12432269.399999999</v>
      </c>
      <c r="H39" s="30">
        <f t="shared" si="42"/>
        <v>12431501.390000001</v>
      </c>
      <c r="I39" s="4">
        <v>4712</v>
      </c>
      <c r="J39" s="4">
        <f t="shared" si="43"/>
        <v>420262</v>
      </c>
      <c r="K39" s="31"/>
      <c r="L39" s="32">
        <f t="shared" si="44"/>
        <v>3060120.36</v>
      </c>
      <c r="M39" s="32">
        <f t="shared" si="44"/>
        <v>3043620.36</v>
      </c>
      <c r="N39" s="4">
        <v>2247</v>
      </c>
      <c r="O39" s="4">
        <f t="shared" si="50"/>
        <v>110456</v>
      </c>
      <c r="P39" s="30">
        <v>960096.61</v>
      </c>
      <c r="Q39" s="30">
        <v>960096.61</v>
      </c>
      <c r="R39" s="4">
        <v>1508</v>
      </c>
      <c r="S39" s="4">
        <v>37449</v>
      </c>
      <c r="T39" s="30">
        <v>1071404.75</v>
      </c>
      <c r="U39" s="30">
        <v>867321.75</v>
      </c>
      <c r="V39" s="4">
        <v>1505</v>
      </c>
      <c r="W39" s="4">
        <v>38303</v>
      </c>
      <c r="X39" s="30">
        <v>1028619</v>
      </c>
      <c r="Y39" s="30">
        <v>1216202</v>
      </c>
      <c r="Z39" s="4">
        <v>1519</v>
      </c>
      <c r="AA39" s="4">
        <v>34704</v>
      </c>
      <c r="AB39" s="31"/>
      <c r="AC39" s="32">
        <f t="shared" si="45"/>
        <v>3132504</v>
      </c>
      <c r="AD39" s="32">
        <f t="shared" si="45"/>
        <v>3131754</v>
      </c>
      <c r="AE39" s="4">
        <v>2274</v>
      </c>
      <c r="AF39" s="4">
        <f t="shared" si="51"/>
        <v>107557</v>
      </c>
      <c r="AG39" s="30">
        <v>1051292</v>
      </c>
      <c r="AH39" s="9">
        <v>936052</v>
      </c>
      <c r="AI39" s="4">
        <v>1541</v>
      </c>
      <c r="AJ39" s="4">
        <v>36774</v>
      </c>
      <c r="AK39" s="30">
        <v>1051410</v>
      </c>
      <c r="AL39" s="9">
        <v>1158540</v>
      </c>
      <c r="AM39" s="4">
        <v>1456</v>
      </c>
      <c r="AN39" s="4">
        <v>34912</v>
      </c>
      <c r="AO39" s="30">
        <v>1029802</v>
      </c>
      <c r="AP39" s="9">
        <v>1037162</v>
      </c>
      <c r="AQ39" s="4">
        <v>1481</v>
      </c>
      <c r="AR39" s="4">
        <v>35871</v>
      </c>
      <c r="AS39" s="31"/>
      <c r="AT39" s="32">
        <f t="shared" si="46"/>
        <v>3097024.45</v>
      </c>
      <c r="AU39" s="32">
        <f t="shared" si="46"/>
        <v>3058224</v>
      </c>
      <c r="AV39" s="4">
        <v>2285</v>
      </c>
      <c r="AW39" s="4">
        <f t="shared" si="47"/>
        <v>101657</v>
      </c>
      <c r="AX39" s="30">
        <v>1006739</v>
      </c>
      <c r="AY39" s="9">
        <v>980889</v>
      </c>
      <c r="AZ39" s="4">
        <v>1429</v>
      </c>
      <c r="BA39" s="4">
        <v>33390</v>
      </c>
      <c r="BB39" s="30">
        <v>1035413.45</v>
      </c>
      <c r="BC39" s="9">
        <v>1077663</v>
      </c>
      <c r="BD39" s="4">
        <v>1491</v>
      </c>
      <c r="BE39" s="4">
        <v>34738</v>
      </c>
      <c r="BF39" s="30">
        <v>1054872</v>
      </c>
      <c r="BG39" s="9">
        <v>999672</v>
      </c>
      <c r="BH39" s="4">
        <v>1420</v>
      </c>
      <c r="BI39" s="4">
        <v>33529</v>
      </c>
      <c r="BJ39" s="31"/>
      <c r="BK39" s="32">
        <f t="shared" si="48"/>
        <v>3142620.59</v>
      </c>
      <c r="BL39" s="32">
        <f t="shared" si="48"/>
        <v>3197903.0300000003</v>
      </c>
      <c r="BM39" s="4">
        <v>2163</v>
      </c>
      <c r="BN39" s="4">
        <f t="shared" si="49"/>
        <v>100592</v>
      </c>
      <c r="BO39" s="9">
        <v>1038565.58</v>
      </c>
      <c r="BP39" s="9">
        <v>1068189.03</v>
      </c>
      <c r="BQ39" s="5">
        <v>1378</v>
      </c>
      <c r="BR39" s="5">
        <v>33165</v>
      </c>
      <c r="BS39" s="9">
        <v>1050727</v>
      </c>
      <c r="BT39" s="9">
        <v>1076032</v>
      </c>
      <c r="BU39" s="5">
        <v>1444</v>
      </c>
      <c r="BV39" s="5">
        <v>34341</v>
      </c>
      <c r="BW39" s="9">
        <v>1053328.01</v>
      </c>
      <c r="BX39" s="9">
        <v>1053682</v>
      </c>
      <c r="BY39" s="5">
        <v>1409</v>
      </c>
      <c r="BZ39" s="5">
        <v>33086</v>
      </c>
      <c r="CA39" s="27"/>
    </row>
    <row r="40" spans="1:79" s="35" customFormat="1" ht="42" customHeight="1" x14ac:dyDescent="0.25">
      <c r="A40" s="33"/>
      <c r="B40" s="3" t="s">
        <v>117</v>
      </c>
      <c r="C40" s="9"/>
      <c r="D40" s="9"/>
      <c r="E40" s="9">
        <v>350000</v>
      </c>
      <c r="F40" s="30"/>
      <c r="G40" s="30">
        <f t="shared" si="42"/>
        <v>349940</v>
      </c>
      <c r="H40" s="30">
        <f t="shared" si="42"/>
        <v>349940</v>
      </c>
      <c r="I40" s="4">
        <v>120</v>
      </c>
      <c r="J40" s="4">
        <f t="shared" si="43"/>
        <v>1873</v>
      </c>
      <c r="K40" s="31"/>
      <c r="L40" s="32">
        <f t="shared" si="44"/>
        <v>80000</v>
      </c>
      <c r="M40" s="32">
        <f t="shared" si="44"/>
        <v>80000</v>
      </c>
      <c r="N40" s="4">
        <v>41</v>
      </c>
      <c r="O40" s="4">
        <f t="shared" si="50"/>
        <v>477</v>
      </c>
      <c r="P40" s="30">
        <v>20000</v>
      </c>
      <c r="Q40" s="30">
        <v>20000</v>
      </c>
      <c r="R40" s="4">
        <v>20</v>
      </c>
      <c r="S40" s="4">
        <v>179</v>
      </c>
      <c r="T40" s="30">
        <v>30000</v>
      </c>
      <c r="U40" s="30">
        <v>30000</v>
      </c>
      <c r="V40" s="4">
        <v>10</v>
      </c>
      <c r="W40" s="4">
        <v>99</v>
      </c>
      <c r="X40" s="30">
        <v>30000</v>
      </c>
      <c r="Y40" s="30">
        <v>30000</v>
      </c>
      <c r="Z40" s="4">
        <v>17</v>
      </c>
      <c r="AA40" s="4">
        <v>199</v>
      </c>
      <c r="AB40" s="31"/>
      <c r="AC40" s="32">
        <f>AG40+AK40+AO40</f>
        <v>90000</v>
      </c>
      <c r="AD40" s="32">
        <f t="shared" si="45"/>
        <v>90000</v>
      </c>
      <c r="AE40" s="4">
        <v>47</v>
      </c>
      <c r="AF40" s="4">
        <f t="shared" si="51"/>
        <v>539</v>
      </c>
      <c r="AG40" s="30">
        <v>30000</v>
      </c>
      <c r="AH40" s="9">
        <v>30000</v>
      </c>
      <c r="AI40" s="4">
        <v>18</v>
      </c>
      <c r="AJ40" s="4">
        <v>184</v>
      </c>
      <c r="AK40" s="30">
        <v>30000</v>
      </c>
      <c r="AL40" s="9">
        <v>30000</v>
      </c>
      <c r="AM40" s="4">
        <v>18</v>
      </c>
      <c r="AN40" s="4">
        <v>188</v>
      </c>
      <c r="AO40" s="30">
        <v>30000</v>
      </c>
      <c r="AP40" s="9">
        <v>30000</v>
      </c>
      <c r="AQ40" s="4">
        <v>16</v>
      </c>
      <c r="AR40" s="4">
        <v>167</v>
      </c>
      <c r="AS40" s="31"/>
      <c r="AT40" s="32">
        <f>AX40+BB40+BF40</f>
        <v>90000</v>
      </c>
      <c r="AU40" s="32">
        <f>AY40+BC40+BG40</f>
        <v>90000</v>
      </c>
      <c r="AV40" s="4">
        <v>32</v>
      </c>
      <c r="AW40" s="4">
        <f t="shared" si="47"/>
        <v>422</v>
      </c>
      <c r="AX40" s="30">
        <v>30000</v>
      </c>
      <c r="AY40" s="9">
        <v>30000</v>
      </c>
      <c r="AZ40" s="4">
        <v>16</v>
      </c>
      <c r="BA40" s="4">
        <v>169</v>
      </c>
      <c r="BB40" s="30">
        <v>30000</v>
      </c>
      <c r="BC40" s="9">
        <v>30000</v>
      </c>
      <c r="BD40" s="4">
        <v>10</v>
      </c>
      <c r="BE40" s="4">
        <v>72</v>
      </c>
      <c r="BF40" s="30">
        <v>30000</v>
      </c>
      <c r="BG40" s="9">
        <v>30000</v>
      </c>
      <c r="BH40" s="4">
        <v>15</v>
      </c>
      <c r="BI40" s="4">
        <v>181</v>
      </c>
      <c r="BJ40" s="31"/>
      <c r="BK40" s="32">
        <f t="shared" si="48"/>
        <v>89940</v>
      </c>
      <c r="BL40" s="32">
        <f t="shared" si="48"/>
        <v>89940</v>
      </c>
      <c r="BM40" s="4">
        <v>37</v>
      </c>
      <c r="BN40" s="4">
        <f t="shared" si="49"/>
        <v>435</v>
      </c>
      <c r="BO40" s="9">
        <v>29940</v>
      </c>
      <c r="BP40" s="9">
        <v>29940</v>
      </c>
      <c r="BQ40" s="5">
        <v>13</v>
      </c>
      <c r="BR40" s="5">
        <v>157</v>
      </c>
      <c r="BS40" s="9">
        <v>30000</v>
      </c>
      <c r="BT40" s="9">
        <v>30000</v>
      </c>
      <c r="BU40" s="5">
        <v>18</v>
      </c>
      <c r="BV40" s="5">
        <v>147</v>
      </c>
      <c r="BW40" s="9">
        <v>30000</v>
      </c>
      <c r="BX40" s="9">
        <v>30000</v>
      </c>
      <c r="BY40" s="5">
        <v>13</v>
      </c>
      <c r="BZ40" s="5">
        <v>131</v>
      </c>
      <c r="CA40" s="27"/>
    </row>
    <row r="41" spans="1:79" s="35" customFormat="1" ht="42" customHeight="1" x14ac:dyDescent="0.25">
      <c r="A41" s="42"/>
      <c r="B41" s="11" t="s">
        <v>118</v>
      </c>
      <c r="C41" s="43"/>
      <c r="D41" s="43"/>
      <c r="E41" s="9">
        <v>567900</v>
      </c>
      <c r="F41" s="30"/>
      <c r="G41" s="30">
        <f t="shared" si="42"/>
        <v>567801</v>
      </c>
      <c r="H41" s="30">
        <f t="shared" si="42"/>
        <v>567801</v>
      </c>
      <c r="I41" s="4">
        <v>108</v>
      </c>
      <c r="J41" s="4">
        <f t="shared" si="43"/>
        <v>34729</v>
      </c>
      <c r="K41" s="31"/>
      <c r="L41" s="32">
        <f t="shared" si="44"/>
        <v>124500</v>
      </c>
      <c r="M41" s="32">
        <f t="shared" si="44"/>
        <v>124500</v>
      </c>
      <c r="N41" s="4">
        <v>97</v>
      </c>
      <c r="O41" s="4">
        <f t="shared" si="50"/>
        <v>8300</v>
      </c>
      <c r="P41" s="30">
        <v>42585</v>
      </c>
      <c r="Q41" s="30">
        <v>42585</v>
      </c>
      <c r="R41" s="4">
        <v>93</v>
      </c>
      <c r="S41" s="4">
        <v>2839</v>
      </c>
      <c r="T41" s="30">
        <v>43035</v>
      </c>
      <c r="U41" s="30">
        <v>43035</v>
      </c>
      <c r="V41" s="4">
        <v>96</v>
      </c>
      <c r="W41" s="4">
        <v>2869</v>
      </c>
      <c r="X41" s="30">
        <v>38880</v>
      </c>
      <c r="Y41" s="30">
        <v>38880</v>
      </c>
      <c r="Z41" s="4">
        <v>94</v>
      </c>
      <c r="AA41" s="4">
        <v>2592</v>
      </c>
      <c r="AB41" s="31"/>
      <c r="AC41" s="32">
        <f t="shared" si="45"/>
        <v>145852</v>
      </c>
      <c r="AD41" s="32">
        <f t="shared" si="45"/>
        <v>145852</v>
      </c>
      <c r="AE41" s="4">
        <v>99</v>
      </c>
      <c r="AF41" s="4">
        <f t="shared" si="51"/>
        <v>8932</v>
      </c>
      <c r="AG41" s="30">
        <v>44940</v>
      </c>
      <c r="AH41" s="9">
        <v>44940</v>
      </c>
      <c r="AI41" s="4">
        <v>98</v>
      </c>
      <c r="AJ41" s="4">
        <v>2996</v>
      </c>
      <c r="AK41" s="30">
        <v>49691</v>
      </c>
      <c r="AL41" s="9">
        <v>49691</v>
      </c>
      <c r="AM41" s="4">
        <v>98</v>
      </c>
      <c r="AN41" s="4">
        <v>2923</v>
      </c>
      <c r="AO41" s="30">
        <v>51221</v>
      </c>
      <c r="AP41" s="9">
        <v>51221</v>
      </c>
      <c r="AQ41" s="4">
        <v>98</v>
      </c>
      <c r="AR41" s="4">
        <v>3013</v>
      </c>
      <c r="AS41" s="31"/>
      <c r="AT41" s="32">
        <f t="shared" si="46"/>
        <v>148665</v>
      </c>
      <c r="AU41" s="32">
        <f t="shared" si="46"/>
        <v>148665</v>
      </c>
      <c r="AV41" s="4">
        <v>101</v>
      </c>
      <c r="AW41" s="4">
        <f t="shared" si="47"/>
        <v>8745</v>
      </c>
      <c r="AX41" s="30">
        <v>48824</v>
      </c>
      <c r="AY41" s="9">
        <v>48824</v>
      </c>
      <c r="AZ41" s="4">
        <v>99</v>
      </c>
      <c r="BA41" s="4">
        <v>2872</v>
      </c>
      <c r="BB41" s="30">
        <v>49708</v>
      </c>
      <c r="BC41" s="9">
        <v>49708</v>
      </c>
      <c r="BD41" s="4">
        <v>98</v>
      </c>
      <c r="BE41" s="4">
        <v>2924</v>
      </c>
      <c r="BF41" s="30">
        <v>50133</v>
      </c>
      <c r="BG41" s="9">
        <v>50133</v>
      </c>
      <c r="BH41" s="4">
        <v>99</v>
      </c>
      <c r="BI41" s="4">
        <v>2949</v>
      </c>
      <c r="BJ41" s="31"/>
      <c r="BK41" s="32">
        <f t="shared" si="48"/>
        <v>148784</v>
      </c>
      <c r="BL41" s="32">
        <f t="shared" si="48"/>
        <v>148784</v>
      </c>
      <c r="BM41" s="4">
        <v>99</v>
      </c>
      <c r="BN41" s="4">
        <f t="shared" si="49"/>
        <v>8752</v>
      </c>
      <c r="BO41" s="9">
        <v>48297</v>
      </c>
      <c r="BP41" s="9">
        <v>48297</v>
      </c>
      <c r="BQ41" s="5">
        <v>99</v>
      </c>
      <c r="BR41" s="5">
        <v>2841</v>
      </c>
      <c r="BS41" s="9">
        <v>51187</v>
      </c>
      <c r="BT41" s="9">
        <v>51187</v>
      </c>
      <c r="BU41" s="5">
        <v>99</v>
      </c>
      <c r="BV41" s="5">
        <v>3011</v>
      </c>
      <c r="BW41" s="9">
        <v>49300</v>
      </c>
      <c r="BX41" s="9">
        <v>49300</v>
      </c>
      <c r="BY41" s="5">
        <v>98</v>
      </c>
      <c r="BZ41" s="5">
        <v>2900</v>
      </c>
      <c r="CA41" s="27"/>
    </row>
    <row r="42" spans="1:79" s="28" customFormat="1" ht="47.25" customHeight="1" x14ac:dyDescent="0.2">
      <c r="A42" s="22" t="s">
        <v>33</v>
      </c>
      <c r="B42" s="23" t="s">
        <v>34</v>
      </c>
      <c r="C42" s="10">
        <v>13000000</v>
      </c>
      <c r="D42" s="10">
        <v>11290410</v>
      </c>
      <c r="E42" s="10">
        <f>SUM(E43:E47)</f>
        <v>11260400</v>
      </c>
      <c r="F42" s="25">
        <f>K42+AB42+AS42+BJ42</f>
        <v>11290410</v>
      </c>
      <c r="G42" s="26">
        <f t="shared" ref="G42:AR42" si="52">SUM(G43:G47)</f>
        <v>2095201.3199999998</v>
      </c>
      <c r="H42" s="26">
        <f t="shared" si="52"/>
        <v>11290399.459999999</v>
      </c>
      <c r="I42" s="1">
        <f t="shared" si="52"/>
        <v>6526</v>
      </c>
      <c r="J42" s="1">
        <f t="shared" si="52"/>
        <v>16448</v>
      </c>
      <c r="K42" s="10">
        <v>3275000</v>
      </c>
      <c r="L42" s="26">
        <f t="shared" si="52"/>
        <v>506644.32</v>
      </c>
      <c r="M42" s="26">
        <f t="shared" si="52"/>
        <v>3078635.49</v>
      </c>
      <c r="N42" s="1">
        <f t="shared" si="52"/>
        <v>2159</v>
      </c>
      <c r="O42" s="1">
        <f t="shared" si="52"/>
        <v>3989</v>
      </c>
      <c r="P42" s="26">
        <f t="shared" si="52"/>
        <v>170708</v>
      </c>
      <c r="Q42" s="26">
        <f t="shared" si="52"/>
        <v>303329.26</v>
      </c>
      <c r="R42" s="1">
        <f t="shared" si="52"/>
        <v>1368</v>
      </c>
      <c r="S42" s="1">
        <f t="shared" si="52"/>
        <v>1368</v>
      </c>
      <c r="T42" s="26">
        <f t="shared" si="52"/>
        <v>161843.60999999999</v>
      </c>
      <c r="U42" s="26">
        <f t="shared" si="52"/>
        <v>1631241.81</v>
      </c>
      <c r="V42" s="1">
        <f t="shared" si="52"/>
        <v>1266</v>
      </c>
      <c r="W42" s="1">
        <f t="shared" si="52"/>
        <v>1269</v>
      </c>
      <c r="X42" s="26">
        <f t="shared" si="52"/>
        <v>174092.71</v>
      </c>
      <c r="Y42" s="26">
        <f t="shared" si="52"/>
        <v>1144064.42</v>
      </c>
      <c r="Z42" s="1">
        <f t="shared" si="52"/>
        <v>1352</v>
      </c>
      <c r="AA42" s="1">
        <f t="shared" si="52"/>
        <v>1352</v>
      </c>
      <c r="AB42" s="10">
        <v>4351000</v>
      </c>
      <c r="AC42" s="26">
        <f t="shared" ref="AC42:AH42" si="53">SUM(AC43:AC47)</f>
        <v>547676.68999999994</v>
      </c>
      <c r="AD42" s="26">
        <f t="shared" si="53"/>
        <v>4546738.459999999</v>
      </c>
      <c r="AE42" s="1">
        <f t="shared" si="53"/>
        <v>2802</v>
      </c>
      <c r="AF42" s="1">
        <f t="shared" si="53"/>
        <v>4263</v>
      </c>
      <c r="AG42" s="26">
        <f t="shared" si="53"/>
        <v>184672.58000000002</v>
      </c>
      <c r="AH42" s="10">
        <f t="shared" si="53"/>
        <v>3150093.76</v>
      </c>
      <c r="AI42" s="1">
        <f t="shared" si="52"/>
        <v>1435</v>
      </c>
      <c r="AJ42" s="1">
        <f t="shared" si="52"/>
        <v>1435</v>
      </c>
      <c r="AK42" s="26">
        <f t="shared" si="52"/>
        <v>176854.40999999997</v>
      </c>
      <c r="AL42" s="10">
        <f t="shared" si="52"/>
        <v>198554.40999999997</v>
      </c>
      <c r="AM42" s="1">
        <f t="shared" si="52"/>
        <v>1386</v>
      </c>
      <c r="AN42" s="1">
        <f t="shared" si="52"/>
        <v>1386</v>
      </c>
      <c r="AO42" s="26">
        <f t="shared" si="52"/>
        <v>186149.7</v>
      </c>
      <c r="AP42" s="10">
        <f t="shared" si="52"/>
        <v>1198090.29</v>
      </c>
      <c r="AQ42" s="1">
        <f t="shared" si="52"/>
        <v>1442</v>
      </c>
      <c r="AR42" s="1">
        <f t="shared" si="52"/>
        <v>1442</v>
      </c>
      <c r="AS42" s="10">
        <v>3124000</v>
      </c>
      <c r="AT42" s="26">
        <f t="shared" ref="AT42:BZ42" si="54">SUM(AT43:AT47)</f>
        <v>529309.68000000005</v>
      </c>
      <c r="AU42" s="26">
        <f t="shared" si="54"/>
        <v>3100842.8800000004</v>
      </c>
      <c r="AV42" s="1">
        <f t="shared" si="54"/>
        <v>2256</v>
      </c>
      <c r="AW42" s="1">
        <f t="shared" si="54"/>
        <v>4155</v>
      </c>
      <c r="AX42" s="26">
        <f t="shared" si="54"/>
        <v>190029.59000000003</v>
      </c>
      <c r="AY42" s="10">
        <f t="shared" si="54"/>
        <v>424294.7</v>
      </c>
      <c r="AZ42" s="1">
        <f t="shared" si="54"/>
        <v>1468</v>
      </c>
      <c r="BA42" s="1">
        <f t="shared" si="54"/>
        <v>1468</v>
      </c>
      <c r="BB42" s="26">
        <f t="shared" si="54"/>
        <v>175934.97</v>
      </c>
      <c r="BC42" s="10">
        <f t="shared" si="54"/>
        <v>402026.33999999997</v>
      </c>
      <c r="BD42" s="1">
        <f t="shared" si="54"/>
        <v>1386</v>
      </c>
      <c r="BE42" s="1">
        <f t="shared" si="54"/>
        <v>1386</v>
      </c>
      <c r="BF42" s="26">
        <f t="shared" si="54"/>
        <v>163345.12</v>
      </c>
      <c r="BG42" s="10">
        <f t="shared" si="54"/>
        <v>2274521.8400000003</v>
      </c>
      <c r="BH42" s="1">
        <f t="shared" si="54"/>
        <v>1301</v>
      </c>
      <c r="BI42" s="1">
        <f t="shared" si="54"/>
        <v>1301</v>
      </c>
      <c r="BJ42" s="10">
        <v>540410</v>
      </c>
      <c r="BK42" s="26">
        <f t="shared" si="54"/>
        <v>511570.63</v>
      </c>
      <c r="BL42" s="26">
        <f t="shared" si="54"/>
        <v>564182.63</v>
      </c>
      <c r="BM42" s="1">
        <f>SUM(BM43:BM47)</f>
        <v>2550</v>
      </c>
      <c r="BN42" s="1">
        <f>SUM(BN43:BN47)</f>
        <v>4041</v>
      </c>
      <c r="BO42" s="10">
        <f t="shared" si="54"/>
        <v>160289.60999999999</v>
      </c>
      <c r="BP42" s="10">
        <f t="shared" si="54"/>
        <v>178901.61</v>
      </c>
      <c r="BQ42" s="2">
        <f t="shared" si="54"/>
        <v>1280</v>
      </c>
      <c r="BR42" s="2">
        <f t="shared" si="54"/>
        <v>1280</v>
      </c>
      <c r="BS42" s="10">
        <f t="shared" si="54"/>
        <v>178075.28999999998</v>
      </c>
      <c r="BT42" s="10">
        <f t="shared" si="54"/>
        <v>184751</v>
      </c>
      <c r="BU42" s="2">
        <f>SUM(BU43:BU47)</f>
        <v>1393</v>
      </c>
      <c r="BV42" s="2">
        <f>SUM(BV43:BV47)</f>
        <v>1393</v>
      </c>
      <c r="BW42" s="10">
        <f t="shared" si="54"/>
        <v>173205.72999999998</v>
      </c>
      <c r="BX42" s="10">
        <f t="shared" si="54"/>
        <v>200530.02000000002</v>
      </c>
      <c r="BY42" s="2">
        <f t="shared" si="54"/>
        <v>1368</v>
      </c>
      <c r="BZ42" s="2">
        <f t="shared" si="54"/>
        <v>1368</v>
      </c>
      <c r="CA42" s="27"/>
    </row>
    <row r="43" spans="1:79" s="35" customFormat="1" ht="45.75" customHeight="1" x14ac:dyDescent="0.25">
      <c r="A43" s="44"/>
      <c r="B43" s="3" t="s">
        <v>35</v>
      </c>
      <c r="C43" s="9"/>
      <c r="D43" s="9"/>
      <c r="E43" s="9">
        <v>1316000</v>
      </c>
      <c r="F43" s="30"/>
      <c r="G43" s="30">
        <f t="shared" ref="G43:H47" si="55">L43+AC43+AT43+BK43</f>
        <v>1315930.21</v>
      </c>
      <c r="H43" s="30">
        <f t="shared" si="55"/>
        <v>1315930.21</v>
      </c>
      <c r="I43" s="4">
        <v>1499</v>
      </c>
      <c r="J43" s="4">
        <f>O43+AF43+AW43+BN43</f>
        <v>11421</v>
      </c>
      <c r="K43" s="31"/>
      <c r="L43" s="32">
        <f t="shared" ref="L43:M47" si="56">P43+T43+X43</f>
        <v>315286.31</v>
      </c>
      <c r="M43" s="32">
        <f t="shared" si="56"/>
        <v>315286.31</v>
      </c>
      <c r="N43" s="4">
        <v>950</v>
      </c>
      <c r="O43" s="4">
        <f t="shared" si="50"/>
        <v>2780</v>
      </c>
      <c r="P43" s="30">
        <v>100190</v>
      </c>
      <c r="Q43" s="30">
        <v>100082.5</v>
      </c>
      <c r="R43" s="4">
        <v>920</v>
      </c>
      <c r="S43" s="4">
        <v>920</v>
      </c>
      <c r="T43" s="30">
        <v>107374.41</v>
      </c>
      <c r="U43" s="30">
        <v>107481.91</v>
      </c>
      <c r="V43" s="4">
        <v>927</v>
      </c>
      <c r="W43" s="4">
        <v>930</v>
      </c>
      <c r="X43" s="30">
        <v>107721.9</v>
      </c>
      <c r="Y43" s="30">
        <v>107721.9</v>
      </c>
      <c r="Z43" s="4">
        <v>930</v>
      </c>
      <c r="AA43" s="4">
        <v>930</v>
      </c>
      <c r="AB43" s="31"/>
      <c r="AC43" s="32">
        <f t="shared" ref="AC43:AD47" si="57">AG43+AK43+AO43</f>
        <v>329304.69</v>
      </c>
      <c r="AD43" s="32">
        <f t="shared" si="57"/>
        <v>327451.41000000003</v>
      </c>
      <c r="AE43" s="4">
        <v>1382</v>
      </c>
      <c r="AF43" s="4">
        <f t="shared" si="51"/>
        <v>2843</v>
      </c>
      <c r="AG43" s="30">
        <v>109575.18000000001</v>
      </c>
      <c r="AH43" s="9">
        <v>109575.18</v>
      </c>
      <c r="AI43" s="4">
        <v>946</v>
      </c>
      <c r="AJ43" s="4">
        <v>946</v>
      </c>
      <c r="AK43" s="30">
        <v>109691.01</v>
      </c>
      <c r="AL43" s="9">
        <v>109691.01</v>
      </c>
      <c r="AM43" s="4">
        <v>947</v>
      </c>
      <c r="AN43" s="4">
        <v>947</v>
      </c>
      <c r="AO43" s="30">
        <v>110038.5</v>
      </c>
      <c r="AP43" s="9">
        <v>108185.22</v>
      </c>
      <c r="AQ43" s="4">
        <v>950</v>
      </c>
      <c r="AR43" s="4">
        <v>950</v>
      </c>
      <c r="AS43" s="31"/>
      <c r="AT43" s="32">
        <f t="shared" ref="AT43:AU47" si="58">AX43+BB43+BF43</f>
        <v>333127.08</v>
      </c>
      <c r="AU43" s="32">
        <f t="shared" si="58"/>
        <v>334980.36</v>
      </c>
      <c r="AV43" s="4">
        <v>978</v>
      </c>
      <c r="AW43" s="4">
        <f>BA43+BE43+BI43</f>
        <v>2877</v>
      </c>
      <c r="AX43" s="30">
        <v>110385.99</v>
      </c>
      <c r="AY43" s="9">
        <v>110849.31</v>
      </c>
      <c r="AZ43" s="4">
        <v>953</v>
      </c>
      <c r="BA43" s="4">
        <v>953</v>
      </c>
      <c r="BB43" s="30">
        <v>111080.97</v>
      </c>
      <c r="BC43" s="9">
        <v>112470.93</v>
      </c>
      <c r="BD43" s="4">
        <v>960</v>
      </c>
      <c r="BE43" s="4">
        <v>960</v>
      </c>
      <c r="BF43" s="30">
        <v>111660.12</v>
      </c>
      <c r="BG43" s="9">
        <v>111660.12</v>
      </c>
      <c r="BH43" s="4">
        <v>964</v>
      </c>
      <c r="BI43" s="4">
        <v>964</v>
      </c>
      <c r="BJ43" s="31"/>
      <c r="BK43" s="32">
        <f t="shared" ref="BK43:BL47" si="59">BO43+BS43+BW43</f>
        <v>338212.13</v>
      </c>
      <c r="BL43" s="32">
        <f t="shared" si="59"/>
        <v>338212.13</v>
      </c>
      <c r="BM43" s="4">
        <v>1430</v>
      </c>
      <c r="BN43" s="4">
        <f>BR43+BV43+BZ43</f>
        <v>2921</v>
      </c>
      <c r="BO43" s="9">
        <v>112007.61</v>
      </c>
      <c r="BP43" s="9">
        <v>112007.61</v>
      </c>
      <c r="BQ43" s="5">
        <v>967</v>
      </c>
      <c r="BR43" s="5">
        <v>967</v>
      </c>
      <c r="BS43" s="9">
        <v>112579.29</v>
      </c>
      <c r="BT43" s="9">
        <v>111073.5</v>
      </c>
      <c r="BU43" s="5">
        <v>973</v>
      </c>
      <c r="BV43" s="5">
        <v>973</v>
      </c>
      <c r="BW43" s="9">
        <v>113625.23</v>
      </c>
      <c r="BX43" s="9">
        <v>115131.02</v>
      </c>
      <c r="BY43" s="5">
        <v>981</v>
      </c>
      <c r="BZ43" s="5">
        <v>981</v>
      </c>
      <c r="CA43" s="27"/>
    </row>
    <row r="44" spans="1:79" s="35" customFormat="1" ht="45.75" customHeight="1" x14ac:dyDescent="0.25">
      <c r="A44" s="44"/>
      <c r="B44" s="3" t="s">
        <v>36</v>
      </c>
      <c r="C44" s="9"/>
      <c r="D44" s="9"/>
      <c r="E44" s="9">
        <v>779100</v>
      </c>
      <c r="F44" s="30"/>
      <c r="G44" s="30">
        <f t="shared" si="55"/>
        <v>779271.11</v>
      </c>
      <c r="H44" s="30">
        <f t="shared" si="55"/>
        <v>779271.11</v>
      </c>
      <c r="I44" s="4">
        <v>5027</v>
      </c>
      <c r="J44" s="4">
        <f>O44+AF44+AW44+BN44</f>
        <v>5027</v>
      </c>
      <c r="K44" s="31"/>
      <c r="L44" s="32">
        <f t="shared" si="56"/>
        <v>191358.01</v>
      </c>
      <c r="M44" s="32">
        <f t="shared" si="56"/>
        <v>191358.01</v>
      </c>
      <c r="N44" s="4">
        <v>1209</v>
      </c>
      <c r="O44" s="4">
        <f t="shared" si="50"/>
        <v>1209</v>
      </c>
      <c r="P44" s="30">
        <v>70518</v>
      </c>
      <c r="Q44" s="30">
        <v>68790</v>
      </c>
      <c r="R44" s="4">
        <v>448</v>
      </c>
      <c r="S44" s="4">
        <v>448</v>
      </c>
      <c r="T44" s="30">
        <v>54469.2</v>
      </c>
      <c r="U44" s="30">
        <v>55789.2</v>
      </c>
      <c r="V44" s="4">
        <v>339</v>
      </c>
      <c r="W44" s="4">
        <v>339</v>
      </c>
      <c r="X44" s="30">
        <v>66370.81</v>
      </c>
      <c r="Y44" s="30">
        <v>66778.81</v>
      </c>
      <c r="Z44" s="4">
        <v>422</v>
      </c>
      <c r="AA44" s="4">
        <v>422</v>
      </c>
      <c r="AB44" s="31"/>
      <c r="AC44" s="32">
        <f t="shared" si="57"/>
        <v>218372</v>
      </c>
      <c r="AD44" s="32">
        <f t="shared" si="57"/>
        <v>198708.8</v>
      </c>
      <c r="AE44" s="4">
        <v>1420</v>
      </c>
      <c r="AF44" s="4">
        <f t="shared" si="51"/>
        <v>1420</v>
      </c>
      <c r="AG44" s="30">
        <v>75097.399999999994</v>
      </c>
      <c r="AH44" s="9">
        <v>70397.399999999994</v>
      </c>
      <c r="AI44" s="4">
        <v>489</v>
      </c>
      <c r="AJ44" s="4">
        <v>489</v>
      </c>
      <c r="AK44" s="30">
        <v>67163.399999999994</v>
      </c>
      <c r="AL44" s="9">
        <v>71863.399999999994</v>
      </c>
      <c r="AM44" s="4">
        <v>439</v>
      </c>
      <c r="AN44" s="4">
        <v>439</v>
      </c>
      <c r="AO44" s="30">
        <v>76111.199999999997</v>
      </c>
      <c r="AP44" s="9">
        <v>56448</v>
      </c>
      <c r="AQ44" s="4">
        <v>492</v>
      </c>
      <c r="AR44" s="4">
        <v>492</v>
      </c>
      <c r="AS44" s="31"/>
      <c r="AT44" s="32">
        <f t="shared" si="58"/>
        <v>196182.6</v>
      </c>
      <c r="AU44" s="32">
        <f t="shared" si="58"/>
        <v>214233.8</v>
      </c>
      <c r="AV44" s="4">
        <v>1278</v>
      </c>
      <c r="AW44" s="4">
        <f>BA44+BE44+BI44</f>
        <v>1278</v>
      </c>
      <c r="AX44" s="30">
        <v>79643.600000000006</v>
      </c>
      <c r="AY44" s="9">
        <v>90875.6</v>
      </c>
      <c r="AZ44" s="4">
        <v>515</v>
      </c>
      <c r="BA44" s="4">
        <v>515</v>
      </c>
      <c r="BB44" s="30">
        <v>64854</v>
      </c>
      <c r="BC44" s="9">
        <v>73285.2</v>
      </c>
      <c r="BD44" s="4">
        <v>426</v>
      </c>
      <c r="BE44" s="4">
        <v>426</v>
      </c>
      <c r="BF44" s="30">
        <v>51685</v>
      </c>
      <c r="BG44" s="9">
        <v>50073</v>
      </c>
      <c r="BH44" s="4">
        <v>337</v>
      </c>
      <c r="BI44" s="4">
        <v>337</v>
      </c>
      <c r="BJ44" s="31"/>
      <c r="BK44" s="32">
        <f t="shared" si="59"/>
        <v>173358.5</v>
      </c>
      <c r="BL44" s="32">
        <f t="shared" si="59"/>
        <v>174970.5</v>
      </c>
      <c r="BM44" s="4">
        <v>1120</v>
      </c>
      <c r="BN44" s="4">
        <f>BR44+BV44+BZ44</f>
        <v>1120</v>
      </c>
      <c r="BO44" s="9">
        <v>48282</v>
      </c>
      <c r="BP44" s="9">
        <v>49894</v>
      </c>
      <c r="BQ44" s="5">
        <v>313</v>
      </c>
      <c r="BR44" s="5">
        <v>313</v>
      </c>
      <c r="BS44" s="9">
        <v>65496</v>
      </c>
      <c r="BT44" s="9">
        <v>56677.5</v>
      </c>
      <c r="BU44" s="5">
        <v>420</v>
      </c>
      <c r="BV44" s="5">
        <v>420</v>
      </c>
      <c r="BW44" s="9">
        <v>59580.5</v>
      </c>
      <c r="BX44" s="9">
        <v>68399</v>
      </c>
      <c r="BY44" s="5">
        <v>387</v>
      </c>
      <c r="BZ44" s="5">
        <v>387</v>
      </c>
      <c r="CA44" s="27"/>
    </row>
    <row r="45" spans="1:79" s="35" customFormat="1" ht="66.75" customHeight="1" x14ac:dyDescent="0.25">
      <c r="A45" s="44"/>
      <c r="B45" s="11" t="s">
        <v>119</v>
      </c>
      <c r="C45" s="9"/>
      <c r="D45" s="9"/>
      <c r="E45" s="9">
        <v>8688800</v>
      </c>
      <c r="F45" s="30"/>
      <c r="G45" s="30">
        <f t="shared" si="55"/>
        <v>0</v>
      </c>
      <c r="H45" s="30">
        <f t="shared" si="55"/>
        <v>8718701.5399999991</v>
      </c>
      <c r="I45" s="4"/>
      <c r="J45" s="4"/>
      <c r="K45" s="31"/>
      <c r="L45" s="32">
        <f t="shared" si="56"/>
        <v>0</v>
      </c>
      <c r="M45" s="32">
        <f t="shared" si="56"/>
        <v>2366383.1700000004</v>
      </c>
      <c r="N45" s="4"/>
      <c r="O45" s="4"/>
      <c r="P45" s="30"/>
      <c r="Q45" s="30">
        <f>27035.8+32442.96</f>
        <v>59478.759999999995</v>
      </c>
      <c r="R45" s="4"/>
      <c r="S45" s="4"/>
      <c r="T45" s="30"/>
      <c r="U45" s="30">
        <f>17670.79+14865.97+176154.55+369555+52322.64+820401.75</f>
        <v>1450970.7000000002</v>
      </c>
      <c r="V45" s="4"/>
      <c r="W45" s="4"/>
      <c r="X45" s="30"/>
      <c r="Y45" s="30">
        <f>99628.85+161429.4+538934.17+55941.29</f>
        <v>855933.71000000008</v>
      </c>
      <c r="Z45" s="4"/>
      <c r="AA45" s="4"/>
      <c r="AB45" s="31"/>
      <c r="AC45" s="32">
        <f t="shared" si="57"/>
        <v>0</v>
      </c>
      <c r="AD45" s="32">
        <f t="shared" si="57"/>
        <v>3969578.2499999995</v>
      </c>
      <c r="AE45" s="4"/>
      <c r="AF45" s="4"/>
      <c r="AG45" s="30"/>
      <c r="AH45" s="9">
        <f>20612.15+1917057.78+1015451.25</f>
        <v>2953121.1799999997</v>
      </c>
      <c r="AI45" s="4"/>
      <c r="AJ45" s="4"/>
      <c r="AK45" s="30"/>
      <c r="AL45" s="9"/>
      <c r="AM45" s="4"/>
      <c r="AN45" s="4"/>
      <c r="AO45" s="30"/>
      <c r="AP45" s="9">
        <v>1016457.07</v>
      </c>
      <c r="AQ45" s="4"/>
      <c r="AR45" s="4"/>
      <c r="AS45" s="31"/>
      <c r="AT45" s="32">
        <f t="shared" si="58"/>
        <v>0</v>
      </c>
      <c r="AU45" s="32">
        <f t="shared" si="58"/>
        <v>2382740.12</v>
      </c>
      <c r="AV45" s="4"/>
      <c r="AW45" s="4">
        <f>BA45+BE45+BI45</f>
        <v>0</v>
      </c>
      <c r="AX45" s="30"/>
      <c r="AY45" s="9">
        <f>205569.79</f>
        <v>205569.79</v>
      </c>
      <c r="AZ45" s="4"/>
      <c r="BA45" s="4"/>
      <c r="BB45" s="30"/>
      <c r="BC45" s="9">
        <f>199270.21</f>
        <v>199270.21</v>
      </c>
      <c r="BD45" s="4"/>
      <c r="BE45" s="4"/>
      <c r="BF45" s="30"/>
      <c r="BG45" s="9">
        <f>1090477.84+887422.28</f>
        <v>1977900.12</v>
      </c>
      <c r="BH45" s="4"/>
      <c r="BI45" s="4"/>
      <c r="BJ45" s="31"/>
      <c r="BK45" s="32">
        <f t="shared" si="59"/>
        <v>0</v>
      </c>
      <c r="BL45" s="32">
        <f t="shared" si="59"/>
        <v>0</v>
      </c>
      <c r="BM45" s="4"/>
      <c r="BN45" s="4"/>
      <c r="BO45" s="9"/>
      <c r="BP45" s="9"/>
      <c r="BQ45" s="5"/>
      <c r="BR45" s="5"/>
      <c r="BS45" s="9"/>
      <c r="BT45" s="9"/>
      <c r="BU45" s="5"/>
      <c r="BV45" s="5"/>
      <c r="BW45" s="9"/>
      <c r="BX45" s="9"/>
      <c r="BY45" s="5"/>
      <c r="BZ45" s="5"/>
      <c r="CA45" s="27"/>
    </row>
    <row r="46" spans="1:79" s="35" customFormat="1" ht="66.75" customHeight="1" x14ac:dyDescent="0.25">
      <c r="A46" s="44"/>
      <c r="B46" s="11" t="s">
        <v>120</v>
      </c>
      <c r="C46" s="9"/>
      <c r="D46" s="9"/>
      <c r="E46" s="9">
        <v>272500</v>
      </c>
      <c r="F46" s="30"/>
      <c r="G46" s="30">
        <f t="shared" si="55"/>
        <v>0</v>
      </c>
      <c r="H46" s="30">
        <f t="shared" si="55"/>
        <v>272496.59999999998</v>
      </c>
      <c r="I46" s="4"/>
      <c r="J46" s="4"/>
      <c r="K46" s="31"/>
      <c r="L46" s="32">
        <f t="shared" si="56"/>
        <v>0</v>
      </c>
      <c r="M46" s="32">
        <f t="shared" si="56"/>
        <v>154608</v>
      </c>
      <c r="N46" s="4"/>
      <c r="O46" s="4"/>
      <c r="P46" s="30"/>
      <c r="Q46" s="30">
        <f>57978</f>
        <v>57978</v>
      </c>
      <c r="R46" s="4"/>
      <c r="S46" s="4"/>
      <c r="T46" s="30"/>
      <c r="U46" s="30"/>
      <c r="V46" s="4"/>
      <c r="W46" s="4"/>
      <c r="X46" s="30"/>
      <c r="Y46" s="30">
        <f>96630</f>
        <v>96630</v>
      </c>
      <c r="Z46" s="4"/>
      <c r="AA46" s="4"/>
      <c r="AB46" s="31"/>
      <c r="AC46" s="32">
        <f t="shared" si="57"/>
        <v>0</v>
      </c>
      <c r="AD46" s="32">
        <f t="shared" si="57"/>
        <v>0</v>
      </c>
      <c r="AE46" s="4"/>
      <c r="AF46" s="4"/>
      <c r="AG46" s="30"/>
      <c r="AH46" s="9"/>
      <c r="AI46" s="4"/>
      <c r="AJ46" s="4"/>
      <c r="AK46" s="30"/>
      <c r="AL46" s="9"/>
      <c r="AM46" s="4"/>
      <c r="AN46" s="4"/>
      <c r="AO46" s="30"/>
      <c r="AP46" s="9"/>
      <c r="AQ46" s="4"/>
      <c r="AR46" s="4"/>
      <c r="AS46" s="31"/>
      <c r="AT46" s="32">
        <f t="shared" si="58"/>
        <v>0</v>
      </c>
      <c r="AU46" s="32">
        <f t="shared" si="58"/>
        <v>117888.6</v>
      </c>
      <c r="AV46" s="4"/>
      <c r="AW46" s="4">
        <f>BA46+BE46+BI46</f>
        <v>0</v>
      </c>
      <c r="AX46" s="30"/>
      <c r="AY46" s="9"/>
      <c r="AZ46" s="4"/>
      <c r="BA46" s="4"/>
      <c r="BB46" s="30"/>
      <c r="BC46" s="9"/>
      <c r="BD46" s="4"/>
      <c r="BE46" s="4"/>
      <c r="BF46" s="30"/>
      <c r="BG46" s="9">
        <f>117888.6</f>
        <v>117888.6</v>
      </c>
      <c r="BH46" s="4"/>
      <c r="BI46" s="4"/>
      <c r="BJ46" s="31"/>
      <c r="BK46" s="32">
        <f t="shared" si="59"/>
        <v>0</v>
      </c>
      <c r="BL46" s="32">
        <f t="shared" si="59"/>
        <v>0</v>
      </c>
      <c r="BM46" s="4"/>
      <c r="BN46" s="4"/>
      <c r="BO46" s="9"/>
      <c r="BP46" s="9"/>
      <c r="BQ46" s="5"/>
      <c r="BR46" s="5"/>
      <c r="BS46" s="9"/>
      <c r="BT46" s="9"/>
      <c r="BU46" s="5"/>
      <c r="BV46" s="5"/>
      <c r="BW46" s="9"/>
      <c r="BX46" s="9"/>
      <c r="BY46" s="5"/>
      <c r="BZ46" s="5"/>
      <c r="CA46" s="27"/>
    </row>
    <row r="47" spans="1:79" s="35" customFormat="1" ht="66.75" customHeight="1" x14ac:dyDescent="0.25">
      <c r="A47" s="44"/>
      <c r="B47" s="11" t="s">
        <v>121</v>
      </c>
      <c r="C47" s="9"/>
      <c r="D47" s="9"/>
      <c r="E47" s="9">
        <v>204000</v>
      </c>
      <c r="F47" s="30"/>
      <c r="G47" s="30">
        <f t="shared" si="55"/>
        <v>0</v>
      </c>
      <c r="H47" s="30">
        <f t="shared" si="55"/>
        <v>204000</v>
      </c>
      <c r="I47" s="4"/>
      <c r="J47" s="4"/>
      <c r="K47" s="31"/>
      <c r="L47" s="32">
        <f t="shared" si="56"/>
        <v>0</v>
      </c>
      <c r="M47" s="32">
        <f t="shared" si="56"/>
        <v>51000</v>
      </c>
      <c r="N47" s="4"/>
      <c r="O47" s="4"/>
      <c r="P47" s="30"/>
      <c r="Q47" s="30">
        <v>17000</v>
      </c>
      <c r="R47" s="4"/>
      <c r="S47" s="4"/>
      <c r="T47" s="30"/>
      <c r="U47" s="30">
        <v>17000</v>
      </c>
      <c r="V47" s="4"/>
      <c r="W47" s="4"/>
      <c r="X47" s="30"/>
      <c r="Y47" s="30">
        <v>17000</v>
      </c>
      <c r="Z47" s="4"/>
      <c r="AA47" s="4"/>
      <c r="AB47" s="31"/>
      <c r="AC47" s="32">
        <f t="shared" si="57"/>
        <v>0</v>
      </c>
      <c r="AD47" s="32">
        <f t="shared" si="57"/>
        <v>51000</v>
      </c>
      <c r="AE47" s="4"/>
      <c r="AF47" s="4"/>
      <c r="AG47" s="30"/>
      <c r="AH47" s="9">
        <v>17000</v>
      </c>
      <c r="AI47" s="4"/>
      <c r="AJ47" s="4"/>
      <c r="AK47" s="30"/>
      <c r="AL47" s="9">
        <v>17000</v>
      </c>
      <c r="AM47" s="4"/>
      <c r="AN47" s="4"/>
      <c r="AO47" s="30"/>
      <c r="AP47" s="9">
        <v>17000</v>
      </c>
      <c r="AQ47" s="4"/>
      <c r="AR47" s="4"/>
      <c r="AS47" s="31"/>
      <c r="AT47" s="32">
        <f t="shared" si="58"/>
        <v>0</v>
      </c>
      <c r="AU47" s="32">
        <f t="shared" si="58"/>
        <v>51000</v>
      </c>
      <c r="AV47" s="4"/>
      <c r="AW47" s="4">
        <f>BA47+BE47+BI47</f>
        <v>0</v>
      </c>
      <c r="AX47" s="30"/>
      <c r="AY47" s="9">
        <v>17000</v>
      </c>
      <c r="AZ47" s="4"/>
      <c r="BA47" s="4"/>
      <c r="BB47" s="30"/>
      <c r="BC47" s="9">
        <v>17000</v>
      </c>
      <c r="BD47" s="4"/>
      <c r="BE47" s="4"/>
      <c r="BF47" s="30"/>
      <c r="BG47" s="9">
        <v>17000</v>
      </c>
      <c r="BH47" s="4"/>
      <c r="BI47" s="4"/>
      <c r="BJ47" s="31"/>
      <c r="BK47" s="32">
        <f t="shared" si="59"/>
        <v>0</v>
      </c>
      <c r="BL47" s="32">
        <f t="shared" si="59"/>
        <v>51000</v>
      </c>
      <c r="BM47" s="4"/>
      <c r="BN47" s="4"/>
      <c r="BO47" s="9"/>
      <c r="BP47" s="9">
        <v>17000</v>
      </c>
      <c r="BQ47" s="5"/>
      <c r="BR47" s="5"/>
      <c r="BS47" s="9"/>
      <c r="BT47" s="9">
        <v>17000</v>
      </c>
      <c r="BU47" s="5"/>
      <c r="BV47" s="5"/>
      <c r="BW47" s="9"/>
      <c r="BX47" s="9">
        <v>17000</v>
      </c>
      <c r="BY47" s="5"/>
      <c r="BZ47" s="5"/>
      <c r="CA47" s="27"/>
    </row>
    <row r="48" spans="1:79" s="46" customFormat="1" ht="42" customHeight="1" x14ac:dyDescent="0.25">
      <c r="A48" s="22" t="s">
        <v>37</v>
      </c>
      <c r="B48" s="23" t="s">
        <v>38</v>
      </c>
      <c r="C48" s="10">
        <v>2000000</v>
      </c>
      <c r="D48" s="10">
        <v>2000000</v>
      </c>
      <c r="E48" s="14">
        <f>SUM(E49:E49)</f>
        <v>2000000</v>
      </c>
      <c r="F48" s="25">
        <f>K48+AB48+AS48+BJ48</f>
        <v>2000000</v>
      </c>
      <c r="G48" s="45">
        <f>G49</f>
        <v>1999994.6400000001</v>
      </c>
      <c r="H48" s="45">
        <f>H49</f>
        <v>1999994.6400000001</v>
      </c>
      <c r="I48" s="1">
        <f>SUM(I49:I49)</f>
        <v>131</v>
      </c>
      <c r="J48" s="1">
        <f>SUM(J49:J49)</f>
        <v>7711</v>
      </c>
      <c r="K48" s="14">
        <v>500000</v>
      </c>
      <c r="L48" s="45">
        <f>L49</f>
        <v>499999.98</v>
      </c>
      <c r="M48" s="45">
        <f>M49</f>
        <v>499999.98</v>
      </c>
      <c r="N48" s="1">
        <f>SUM(N49:N49)</f>
        <v>73</v>
      </c>
      <c r="O48" s="1">
        <f>SUM(O49:O49)</f>
        <v>3128</v>
      </c>
      <c r="P48" s="45">
        <f>SUM(P49:P49)</f>
        <v>166666.66</v>
      </c>
      <c r="Q48" s="45">
        <f>SUM(Q49:Q49)</f>
        <v>166666.66</v>
      </c>
      <c r="R48" s="1">
        <f t="shared" ref="R48:BZ48" si="60">SUM(R49:R49)</f>
        <v>58</v>
      </c>
      <c r="S48" s="1">
        <f t="shared" si="60"/>
        <v>1615</v>
      </c>
      <c r="T48" s="45">
        <f t="shared" si="60"/>
        <v>166666.66</v>
      </c>
      <c r="U48" s="45">
        <f t="shared" si="60"/>
        <v>166666.66</v>
      </c>
      <c r="V48" s="1">
        <f t="shared" si="60"/>
        <v>58</v>
      </c>
      <c r="W48" s="1">
        <f t="shared" si="60"/>
        <v>1056</v>
      </c>
      <c r="X48" s="45">
        <f t="shared" si="60"/>
        <v>166666.66</v>
      </c>
      <c r="Y48" s="45">
        <f t="shared" si="60"/>
        <v>166666.66</v>
      </c>
      <c r="Z48" s="1">
        <f t="shared" si="60"/>
        <v>50</v>
      </c>
      <c r="AA48" s="1">
        <f t="shared" si="60"/>
        <v>457</v>
      </c>
      <c r="AB48" s="14">
        <v>500000</v>
      </c>
      <c r="AC48" s="45">
        <f>AC49</f>
        <v>499998.66000000003</v>
      </c>
      <c r="AD48" s="45">
        <f>AD49</f>
        <v>499998.66000000003</v>
      </c>
      <c r="AE48" s="1">
        <f>SUM(AE49:AE49)</f>
        <v>73</v>
      </c>
      <c r="AF48" s="1">
        <f>SUM(AF49:AF49)</f>
        <v>1769</v>
      </c>
      <c r="AG48" s="45">
        <f>SUM(AG49:AG49)</f>
        <v>166666.66</v>
      </c>
      <c r="AH48" s="14">
        <f>SUM(AH49:AH49)</f>
        <v>166666.66</v>
      </c>
      <c r="AI48" s="1">
        <f t="shared" si="60"/>
        <v>49</v>
      </c>
      <c r="AJ48" s="1">
        <f t="shared" si="60"/>
        <v>535</v>
      </c>
      <c r="AK48" s="45">
        <f t="shared" si="60"/>
        <v>166666</v>
      </c>
      <c r="AL48" s="14">
        <f t="shared" si="60"/>
        <v>166666</v>
      </c>
      <c r="AM48" s="45">
        <f t="shared" si="60"/>
        <v>55</v>
      </c>
      <c r="AN48" s="45">
        <f t="shared" si="60"/>
        <v>684</v>
      </c>
      <c r="AO48" s="45">
        <f t="shared" si="60"/>
        <v>166666</v>
      </c>
      <c r="AP48" s="14">
        <f t="shared" si="60"/>
        <v>166666</v>
      </c>
      <c r="AQ48" s="45">
        <f t="shared" si="60"/>
        <v>54</v>
      </c>
      <c r="AR48" s="45">
        <f t="shared" si="60"/>
        <v>550</v>
      </c>
      <c r="AS48" s="14">
        <v>500000</v>
      </c>
      <c r="AT48" s="45">
        <f>AT49</f>
        <v>499998</v>
      </c>
      <c r="AU48" s="45">
        <f>AU49</f>
        <v>0</v>
      </c>
      <c r="AV48" s="1">
        <f>SUM(AV49:AV49)</f>
        <v>68</v>
      </c>
      <c r="AW48" s="1">
        <f>SUM(AW49:AW49)</f>
        <v>1497</v>
      </c>
      <c r="AX48" s="45">
        <f>SUM(AX49:AX49)</f>
        <v>166666</v>
      </c>
      <c r="AY48" s="14">
        <f>SUM(AY49:AY49)</f>
        <v>0</v>
      </c>
      <c r="AZ48" s="1">
        <f t="shared" si="60"/>
        <v>50</v>
      </c>
      <c r="BA48" s="1">
        <f t="shared" si="60"/>
        <v>536</v>
      </c>
      <c r="BB48" s="45">
        <f t="shared" si="60"/>
        <v>166666</v>
      </c>
      <c r="BC48" s="14">
        <f t="shared" si="60"/>
        <v>0</v>
      </c>
      <c r="BD48" s="1">
        <f t="shared" si="60"/>
        <v>55</v>
      </c>
      <c r="BE48" s="1">
        <f t="shared" si="60"/>
        <v>456</v>
      </c>
      <c r="BF48" s="45">
        <f t="shared" si="60"/>
        <v>166666</v>
      </c>
      <c r="BG48" s="14">
        <f t="shared" si="60"/>
        <v>0</v>
      </c>
      <c r="BH48" s="1">
        <f t="shared" si="60"/>
        <v>45</v>
      </c>
      <c r="BI48" s="1">
        <f t="shared" si="60"/>
        <v>505</v>
      </c>
      <c r="BJ48" s="14">
        <v>500000</v>
      </c>
      <c r="BK48" s="45">
        <f>BK49</f>
        <v>499998</v>
      </c>
      <c r="BL48" s="45">
        <f>BL49</f>
        <v>999996</v>
      </c>
      <c r="BM48" s="1">
        <f>SUM(BM49:BM49)</f>
        <v>68</v>
      </c>
      <c r="BN48" s="1">
        <f>SUM(BN49:BN49)</f>
        <v>1317</v>
      </c>
      <c r="BO48" s="14">
        <f t="shared" si="60"/>
        <v>166666</v>
      </c>
      <c r="BP48" s="14">
        <f t="shared" si="60"/>
        <v>666664</v>
      </c>
      <c r="BQ48" s="2">
        <f t="shared" si="60"/>
        <v>42</v>
      </c>
      <c r="BR48" s="2">
        <f t="shared" si="60"/>
        <v>203</v>
      </c>
      <c r="BS48" s="14">
        <f t="shared" si="60"/>
        <v>166666</v>
      </c>
      <c r="BT48" s="14">
        <f t="shared" si="60"/>
        <v>166666</v>
      </c>
      <c r="BU48" s="2">
        <f t="shared" si="60"/>
        <v>39</v>
      </c>
      <c r="BV48" s="2">
        <f t="shared" si="60"/>
        <v>579</v>
      </c>
      <c r="BW48" s="14">
        <f t="shared" si="60"/>
        <v>166666</v>
      </c>
      <c r="BX48" s="14">
        <f t="shared" si="60"/>
        <v>166666</v>
      </c>
      <c r="BY48" s="2">
        <f t="shared" si="60"/>
        <v>48</v>
      </c>
      <c r="BZ48" s="2">
        <f t="shared" si="60"/>
        <v>535</v>
      </c>
      <c r="CA48" s="27"/>
    </row>
    <row r="49" spans="1:79" s="46" customFormat="1" ht="47.25" customHeight="1" x14ac:dyDescent="0.25">
      <c r="A49" s="47"/>
      <c r="B49" s="3" t="s">
        <v>39</v>
      </c>
      <c r="C49" s="9"/>
      <c r="D49" s="9"/>
      <c r="E49" s="9">
        <v>2000000</v>
      </c>
      <c r="F49" s="30"/>
      <c r="G49" s="30">
        <f>L49+AC49+AT49+BK49</f>
        <v>1999994.6400000001</v>
      </c>
      <c r="H49" s="30">
        <f>M49+AD49+AU49+BL49</f>
        <v>1999994.6400000001</v>
      </c>
      <c r="I49" s="4">
        <v>131</v>
      </c>
      <c r="J49" s="4">
        <f>O49+AF49+AW49+BN49</f>
        <v>7711</v>
      </c>
      <c r="K49" s="31"/>
      <c r="L49" s="32">
        <f>P49+T49+X49</f>
        <v>499999.98</v>
      </c>
      <c r="M49" s="32">
        <f>Q49+U49+Y49</f>
        <v>499999.98</v>
      </c>
      <c r="N49" s="4">
        <v>73</v>
      </c>
      <c r="O49" s="4">
        <f>S49+W49+AA49</f>
        <v>3128</v>
      </c>
      <c r="P49" s="30">
        <v>166666.66</v>
      </c>
      <c r="Q49" s="30">
        <v>166666.66</v>
      </c>
      <c r="R49" s="4">
        <v>58</v>
      </c>
      <c r="S49" s="4">
        <v>1615</v>
      </c>
      <c r="T49" s="30">
        <v>166666.66</v>
      </c>
      <c r="U49" s="30">
        <v>166666.66</v>
      </c>
      <c r="V49" s="4">
        <v>58</v>
      </c>
      <c r="W49" s="4">
        <v>1056</v>
      </c>
      <c r="X49" s="30">
        <v>166666.66</v>
      </c>
      <c r="Y49" s="30">
        <v>166666.66</v>
      </c>
      <c r="Z49" s="4">
        <v>50</v>
      </c>
      <c r="AA49" s="4">
        <v>457</v>
      </c>
      <c r="AB49" s="31"/>
      <c r="AC49" s="32">
        <f>AG49+AK49+AO49</f>
        <v>499998.66000000003</v>
      </c>
      <c r="AD49" s="32">
        <f>AH49+AL49+AP49</f>
        <v>499998.66000000003</v>
      </c>
      <c r="AE49" s="4">
        <v>73</v>
      </c>
      <c r="AF49" s="4">
        <f>AJ49+AN49+AR49</f>
        <v>1769</v>
      </c>
      <c r="AG49" s="30">
        <v>166666.66</v>
      </c>
      <c r="AH49" s="9">
        <v>166666.66</v>
      </c>
      <c r="AI49" s="4">
        <v>49</v>
      </c>
      <c r="AJ49" s="4">
        <v>535</v>
      </c>
      <c r="AK49" s="30">
        <v>166666</v>
      </c>
      <c r="AL49" s="9">
        <v>166666</v>
      </c>
      <c r="AM49" s="4">
        <v>55</v>
      </c>
      <c r="AN49" s="4">
        <v>684</v>
      </c>
      <c r="AO49" s="30">
        <v>166666</v>
      </c>
      <c r="AP49" s="9">
        <v>166666</v>
      </c>
      <c r="AQ49" s="4">
        <v>54</v>
      </c>
      <c r="AR49" s="4">
        <v>550</v>
      </c>
      <c r="AS49" s="31"/>
      <c r="AT49" s="32">
        <f>AX49+BB49+BF49</f>
        <v>499998</v>
      </c>
      <c r="AU49" s="32">
        <f>AY49+BC49+BG49</f>
        <v>0</v>
      </c>
      <c r="AV49" s="4">
        <v>68</v>
      </c>
      <c r="AW49" s="4">
        <f>BA49+BE49+BI49</f>
        <v>1497</v>
      </c>
      <c r="AX49" s="30">
        <v>166666</v>
      </c>
      <c r="AY49" s="9"/>
      <c r="AZ49" s="4">
        <v>50</v>
      </c>
      <c r="BA49" s="4">
        <v>536</v>
      </c>
      <c r="BB49" s="30">
        <v>166666</v>
      </c>
      <c r="BC49" s="9"/>
      <c r="BD49" s="4">
        <v>55</v>
      </c>
      <c r="BE49" s="4">
        <v>456</v>
      </c>
      <c r="BF49" s="30">
        <v>166666</v>
      </c>
      <c r="BG49" s="9"/>
      <c r="BH49" s="4">
        <v>45</v>
      </c>
      <c r="BI49" s="4">
        <v>505</v>
      </c>
      <c r="BJ49" s="31"/>
      <c r="BK49" s="32">
        <f>BO49+BS49+BW49</f>
        <v>499998</v>
      </c>
      <c r="BL49" s="32">
        <f>BP49+BT49+BX49</f>
        <v>999996</v>
      </c>
      <c r="BM49" s="4">
        <v>68</v>
      </c>
      <c r="BN49" s="4">
        <f>BR49+BV49+BZ49</f>
        <v>1317</v>
      </c>
      <c r="BO49" s="9">
        <v>166666</v>
      </c>
      <c r="BP49" s="9">
        <v>666664</v>
      </c>
      <c r="BQ49" s="5">
        <v>42</v>
      </c>
      <c r="BR49" s="5">
        <v>203</v>
      </c>
      <c r="BS49" s="9">
        <v>166666</v>
      </c>
      <c r="BT49" s="9">
        <v>166666</v>
      </c>
      <c r="BU49" s="5">
        <v>39</v>
      </c>
      <c r="BV49" s="5">
        <v>579</v>
      </c>
      <c r="BW49" s="9">
        <v>166666</v>
      </c>
      <c r="BX49" s="9">
        <v>166666</v>
      </c>
      <c r="BY49" s="5">
        <v>48</v>
      </c>
      <c r="BZ49" s="5">
        <v>535</v>
      </c>
      <c r="CA49" s="27"/>
    </row>
    <row r="50" spans="1:79" s="46" customFormat="1" ht="42" customHeight="1" x14ac:dyDescent="0.25">
      <c r="A50" s="22" t="s">
        <v>40</v>
      </c>
      <c r="B50" s="23" t="s">
        <v>41</v>
      </c>
      <c r="C50" s="10">
        <v>35000000</v>
      </c>
      <c r="D50" s="10">
        <v>33813100</v>
      </c>
      <c r="E50" s="14">
        <f>SUM(E51:E56)</f>
        <v>33813100</v>
      </c>
      <c r="F50" s="25">
        <f>K50+AB50+AS50+BJ50</f>
        <v>33813100</v>
      </c>
      <c r="G50" s="45">
        <f>SUM(G51:G56)</f>
        <v>15907331.380000001</v>
      </c>
      <c r="H50" s="45">
        <f>SUM(H51:H56)</f>
        <v>33811389.530000001</v>
      </c>
      <c r="I50" s="1">
        <f>SUM(I51:I56)</f>
        <v>3339</v>
      </c>
      <c r="J50" s="1">
        <f>SUM(J51:J56)</f>
        <v>379550</v>
      </c>
      <c r="K50" s="14">
        <v>8606400</v>
      </c>
      <c r="L50" s="45">
        <f t="shared" ref="L50:AA50" si="61">SUM(L51:L56)</f>
        <v>3775171.83</v>
      </c>
      <c r="M50" s="45">
        <f t="shared" si="61"/>
        <v>6716712.8800000008</v>
      </c>
      <c r="N50" s="1">
        <f t="shared" si="61"/>
        <v>2638</v>
      </c>
      <c r="O50" s="1">
        <f t="shared" si="61"/>
        <v>90388</v>
      </c>
      <c r="P50" s="45">
        <f t="shared" si="61"/>
        <v>1311445.5900000001</v>
      </c>
      <c r="Q50" s="45">
        <f t="shared" si="61"/>
        <v>1201211.5900000001</v>
      </c>
      <c r="R50" s="1">
        <f t="shared" si="61"/>
        <v>2505</v>
      </c>
      <c r="S50" s="1">
        <f t="shared" si="61"/>
        <v>30507</v>
      </c>
      <c r="T50" s="45">
        <f t="shared" si="61"/>
        <v>1281930.74</v>
      </c>
      <c r="U50" s="45">
        <f t="shared" si="61"/>
        <v>2900261.2</v>
      </c>
      <c r="V50" s="1">
        <f t="shared" si="61"/>
        <v>2496</v>
      </c>
      <c r="W50" s="1">
        <f t="shared" si="61"/>
        <v>31162</v>
      </c>
      <c r="X50" s="45">
        <f t="shared" si="61"/>
        <v>1181795.5</v>
      </c>
      <c r="Y50" s="45">
        <f t="shared" si="61"/>
        <v>2615240.09</v>
      </c>
      <c r="Z50" s="1">
        <f t="shared" si="61"/>
        <v>2510</v>
      </c>
      <c r="AA50" s="1">
        <f t="shared" si="61"/>
        <v>28719</v>
      </c>
      <c r="AB50" s="14">
        <v>8586200</v>
      </c>
      <c r="AC50" s="45">
        <f t="shared" ref="AC50:AR50" si="62">SUM(AC51:AC56)</f>
        <v>4028631.22</v>
      </c>
      <c r="AD50" s="45">
        <f t="shared" si="62"/>
        <v>7818926.1600000001</v>
      </c>
      <c r="AE50" s="1">
        <f t="shared" si="62"/>
        <v>2756</v>
      </c>
      <c r="AF50" s="1">
        <f t="shared" si="62"/>
        <v>95185</v>
      </c>
      <c r="AG50" s="45">
        <f t="shared" si="62"/>
        <v>1360263.62</v>
      </c>
      <c r="AH50" s="14">
        <f t="shared" si="62"/>
        <v>1507068.4100000001</v>
      </c>
      <c r="AI50" s="1">
        <f t="shared" si="62"/>
        <v>2560</v>
      </c>
      <c r="AJ50" s="1">
        <f t="shared" si="62"/>
        <v>31749</v>
      </c>
      <c r="AK50" s="45">
        <f t="shared" si="62"/>
        <v>1284609.25</v>
      </c>
      <c r="AL50" s="14">
        <f t="shared" si="62"/>
        <v>3099132.0999999996</v>
      </c>
      <c r="AM50" s="1">
        <f t="shared" si="62"/>
        <v>2589</v>
      </c>
      <c r="AN50" s="1">
        <f t="shared" si="62"/>
        <v>30751</v>
      </c>
      <c r="AO50" s="45">
        <f t="shared" si="62"/>
        <v>1383758.35</v>
      </c>
      <c r="AP50" s="14">
        <f t="shared" si="62"/>
        <v>3212725.6500000004</v>
      </c>
      <c r="AQ50" s="1">
        <f t="shared" si="62"/>
        <v>2629</v>
      </c>
      <c r="AR50" s="1">
        <f t="shared" si="62"/>
        <v>32685</v>
      </c>
      <c r="AS50" s="14">
        <v>8805400</v>
      </c>
      <c r="AT50" s="45">
        <f t="shared" ref="AT50:BI50" si="63">SUM(AT51:AT56)</f>
        <v>4115498.9</v>
      </c>
      <c r="AU50" s="45">
        <f t="shared" si="63"/>
        <v>8828872.8499999996</v>
      </c>
      <c r="AV50" s="1">
        <f t="shared" si="63"/>
        <v>2810</v>
      </c>
      <c r="AW50" s="1">
        <f t="shared" si="63"/>
        <v>97349</v>
      </c>
      <c r="AX50" s="45">
        <f t="shared" si="63"/>
        <v>1373399</v>
      </c>
      <c r="AY50" s="14">
        <f t="shared" si="63"/>
        <v>2984928.85</v>
      </c>
      <c r="AZ50" s="1">
        <f t="shared" si="63"/>
        <v>2648</v>
      </c>
      <c r="BA50" s="1">
        <f t="shared" si="63"/>
        <v>32123</v>
      </c>
      <c r="BB50" s="45">
        <f t="shared" si="63"/>
        <v>1341624.77</v>
      </c>
      <c r="BC50" s="14">
        <f t="shared" si="63"/>
        <v>3013143.5599999996</v>
      </c>
      <c r="BD50" s="1">
        <f t="shared" si="63"/>
        <v>2667</v>
      </c>
      <c r="BE50" s="1">
        <f t="shared" si="63"/>
        <v>32134</v>
      </c>
      <c r="BF50" s="45">
        <f t="shared" si="63"/>
        <v>1400475.13</v>
      </c>
      <c r="BG50" s="14">
        <f t="shared" si="63"/>
        <v>2830800.44</v>
      </c>
      <c r="BH50" s="1">
        <f t="shared" si="63"/>
        <v>2665</v>
      </c>
      <c r="BI50" s="1">
        <f t="shared" si="63"/>
        <v>33092</v>
      </c>
      <c r="BJ50" s="14">
        <v>7815100</v>
      </c>
      <c r="BK50" s="45">
        <f t="shared" ref="BK50:BZ50" si="64">SUM(BK51:BK56)</f>
        <v>3988029.43</v>
      </c>
      <c r="BL50" s="45">
        <f t="shared" si="64"/>
        <v>10446877.640000001</v>
      </c>
      <c r="BM50" s="1">
        <f t="shared" si="64"/>
        <v>2802</v>
      </c>
      <c r="BN50" s="1">
        <f t="shared" si="64"/>
        <v>96628</v>
      </c>
      <c r="BO50" s="14">
        <f t="shared" si="64"/>
        <v>1275486.5</v>
      </c>
      <c r="BP50" s="14">
        <f t="shared" si="64"/>
        <v>3158988.45</v>
      </c>
      <c r="BQ50" s="2">
        <f t="shared" si="64"/>
        <v>2675</v>
      </c>
      <c r="BR50" s="2">
        <f t="shared" si="64"/>
        <v>31125</v>
      </c>
      <c r="BS50" s="14">
        <f t="shared" si="64"/>
        <v>1370459.6</v>
      </c>
      <c r="BT50" s="14">
        <f t="shared" si="64"/>
        <v>2811589.6500000004</v>
      </c>
      <c r="BU50" s="2">
        <f t="shared" si="64"/>
        <v>2666</v>
      </c>
      <c r="BV50" s="2">
        <f t="shared" si="64"/>
        <v>33342</v>
      </c>
      <c r="BW50" s="14">
        <f t="shared" si="64"/>
        <v>1342083.33</v>
      </c>
      <c r="BX50" s="14">
        <f t="shared" si="64"/>
        <v>4476299.54</v>
      </c>
      <c r="BY50" s="2">
        <f t="shared" si="64"/>
        <v>2656</v>
      </c>
      <c r="BZ50" s="2">
        <f t="shared" si="64"/>
        <v>32161</v>
      </c>
      <c r="CA50" s="27"/>
    </row>
    <row r="51" spans="1:79" s="46" customFormat="1" ht="42" customHeight="1" x14ac:dyDescent="0.25">
      <c r="A51" s="47"/>
      <c r="B51" s="36" t="s">
        <v>42</v>
      </c>
      <c r="C51" s="9"/>
      <c r="D51" s="9"/>
      <c r="E51" s="9">
        <v>15500900</v>
      </c>
      <c r="F51" s="30"/>
      <c r="G51" s="30">
        <f t="shared" ref="G51:H56" si="65">L51+AC51+AT51+BK51</f>
        <v>15500829</v>
      </c>
      <c r="H51" s="30">
        <f t="shared" si="65"/>
        <v>15500724</v>
      </c>
      <c r="I51" s="4">
        <v>3212</v>
      </c>
      <c r="J51" s="4">
        <f>O51+AF51+AW51+BN51</f>
        <v>378672</v>
      </c>
      <c r="K51" s="31"/>
      <c r="L51" s="32">
        <f t="shared" ref="L51:M56" si="66">P51+T51+X51</f>
        <v>3691886</v>
      </c>
      <c r="M51" s="32">
        <f t="shared" si="66"/>
        <v>3691886</v>
      </c>
      <c r="N51" s="4">
        <v>2551</v>
      </c>
      <c r="O51" s="4">
        <f>S51+W51+AA51</f>
        <v>90155</v>
      </c>
      <c r="P51" s="30">
        <v>1243325</v>
      </c>
      <c r="Q51" s="30">
        <v>1150091</v>
      </c>
      <c r="R51" s="4">
        <v>2419</v>
      </c>
      <c r="S51" s="4">
        <v>30420</v>
      </c>
      <c r="T51" s="30">
        <v>1274198</v>
      </c>
      <c r="U51" s="30">
        <v>1327785</v>
      </c>
      <c r="V51" s="4">
        <v>2421</v>
      </c>
      <c r="W51" s="4">
        <v>31087</v>
      </c>
      <c r="X51" s="30">
        <v>1174363</v>
      </c>
      <c r="Y51" s="30">
        <v>1214010</v>
      </c>
      <c r="Z51" s="4">
        <v>2439</v>
      </c>
      <c r="AA51" s="4">
        <v>28648</v>
      </c>
      <c r="AB51" s="31"/>
      <c r="AC51" s="32">
        <f t="shared" ref="AC51:AD56" si="67">AG51+AK51+AO51</f>
        <v>3887292</v>
      </c>
      <c r="AD51" s="32">
        <f t="shared" si="67"/>
        <v>3841659</v>
      </c>
      <c r="AE51" s="4">
        <v>2670</v>
      </c>
      <c r="AF51" s="4">
        <f>AJ51+AN51+AR51</f>
        <v>94968</v>
      </c>
      <c r="AG51" s="30">
        <v>1292812</v>
      </c>
      <c r="AH51" s="9">
        <v>1019055</v>
      </c>
      <c r="AI51" s="4">
        <v>2484</v>
      </c>
      <c r="AJ51" s="4">
        <v>31673</v>
      </c>
      <c r="AK51" s="30">
        <v>1257716</v>
      </c>
      <c r="AL51" s="9">
        <v>1531473</v>
      </c>
      <c r="AM51" s="4">
        <v>2519</v>
      </c>
      <c r="AN51" s="4">
        <v>30681</v>
      </c>
      <c r="AO51" s="30">
        <v>1336764</v>
      </c>
      <c r="AP51" s="9">
        <v>1291131</v>
      </c>
      <c r="AQ51" s="4">
        <v>2558</v>
      </c>
      <c r="AR51" s="4">
        <v>32614</v>
      </c>
      <c r="AS51" s="31"/>
      <c r="AT51" s="32">
        <f t="shared" ref="AT51:AU56" si="68">AX51+BB51+BF51</f>
        <v>3974253</v>
      </c>
      <c r="AU51" s="32">
        <f t="shared" si="68"/>
        <v>3853180</v>
      </c>
      <c r="AV51" s="4">
        <v>2726</v>
      </c>
      <c r="AW51" s="4">
        <f t="shared" ref="AW51:AW56" si="69">BA51+BE51+BI51</f>
        <v>97133</v>
      </c>
      <c r="AX51" s="30">
        <v>1306301</v>
      </c>
      <c r="AY51" s="9">
        <v>1351934</v>
      </c>
      <c r="AZ51" s="4">
        <v>2573</v>
      </c>
      <c r="BA51" s="4">
        <v>32048</v>
      </c>
      <c r="BB51" s="30">
        <v>1314583</v>
      </c>
      <c r="BC51" s="9">
        <v>1314583</v>
      </c>
      <c r="BD51" s="4">
        <v>2599</v>
      </c>
      <c r="BE51" s="4">
        <v>32065</v>
      </c>
      <c r="BF51" s="30">
        <v>1353369</v>
      </c>
      <c r="BG51" s="9">
        <v>1186663</v>
      </c>
      <c r="BH51" s="4">
        <v>2593</v>
      </c>
      <c r="BI51" s="4">
        <v>33020</v>
      </c>
      <c r="BJ51" s="31"/>
      <c r="BK51" s="32">
        <f t="shared" ref="BK51:BL56" si="70">BO51+BS51+BW51</f>
        <v>3947398</v>
      </c>
      <c r="BL51" s="32">
        <f t="shared" si="70"/>
        <v>4113999</v>
      </c>
      <c r="BM51" s="4">
        <v>2723</v>
      </c>
      <c r="BN51" s="4">
        <f>BR51+BV51+BZ51</f>
        <v>96416</v>
      </c>
      <c r="BO51" s="9">
        <v>1268581</v>
      </c>
      <c r="BP51" s="9">
        <f>1435287-105</f>
        <v>1435182</v>
      </c>
      <c r="BQ51" s="5">
        <v>2606</v>
      </c>
      <c r="BR51" s="5">
        <v>31056</v>
      </c>
      <c r="BS51" s="9">
        <v>1363660</v>
      </c>
      <c r="BT51" s="9">
        <v>1363660</v>
      </c>
      <c r="BU51" s="5">
        <v>2594</v>
      </c>
      <c r="BV51" s="5">
        <v>33270</v>
      </c>
      <c r="BW51" s="9">
        <v>1315157</v>
      </c>
      <c r="BX51" s="9">
        <v>1315157</v>
      </c>
      <c r="BY51" s="5">
        <v>2585</v>
      </c>
      <c r="BZ51" s="5">
        <v>32090</v>
      </c>
      <c r="CA51" s="27"/>
    </row>
    <row r="52" spans="1:79" s="46" customFormat="1" ht="42" customHeight="1" x14ac:dyDescent="0.25">
      <c r="A52" s="47"/>
      <c r="B52" s="36" t="s">
        <v>43</v>
      </c>
      <c r="C52" s="9"/>
      <c r="D52" s="9"/>
      <c r="E52" s="9">
        <v>86600</v>
      </c>
      <c r="F52" s="30"/>
      <c r="G52" s="30">
        <f t="shared" si="65"/>
        <v>86502.38</v>
      </c>
      <c r="H52" s="30">
        <f t="shared" si="65"/>
        <v>86082.38</v>
      </c>
      <c r="I52" s="4">
        <v>111</v>
      </c>
      <c r="J52" s="4">
        <f>O52+AF52+AW52+BN52</f>
        <v>862</v>
      </c>
      <c r="K52" s="31"/>
      <c r="L52" s="32">
        <f t="shared" si="66"/>
        <v>23285.83</v>
      </c>
      <c r="M52" s="32">
        <f t="shared" si="66"/>
        <v>23285.83</v>
      </c>
      <c r="N52" s="4">
        <v>84</v>
      </c>
      <c r="O52" s="4">
        <f>S52+W52+AA52</f>
        <v>230</v>
      </c>
      <c r="P52" s="30">
        <v>8120.59</v>
      </c>
      <c r="Q52" s="30">
        <v>8120.59</v>
      </c>
      <c r="R52" s="4">
        <v>83</v>
      </c>
      <c r="S52" s="4">
        <v>84</v>
      </c>
      <c r="T52" s="30">
        <v>7732.74</v>
      </c>
      <c r="U52" s="30">
        <v>7732.74</v>
      </c>
      <c r="V52" s="4">
        <v>75</v>
      </c>
      <c r="W52" s="4">
        <v>75</v>
      </c>
      <c r="X52" s="30">
        <v>7432.5</v>
      </c>
      <c r="Y52" s="30">
        <v>7432.5</v>
      </c>
      <c r="Z52" s="4">
        <v>71</v>
      </c>
      <c r="AA52" s="4">
        <v>71</v>
      </c>
      <c r="AB52" s="31"/>
      <c r="AC52" s="32">
        <f t="shared" si="67"/>
        <v>21339.22</v>
      </c>
      <c r="AD52" s="32">
        <f t="shared" si="67"/>
        <v>21339.22</v>
      </c>
      <c r="AE52" s="4">
        <v>80</v>
      </c>
      <c r="AF52" s="4">
        <f>AJ52+AN52+AR52</f>
        <v>211</v>
      </c>
      <c r="AG52" s="30">
        <v>7451.62</v>
      </c>
      <c r="AH52" s="9">
        <v>7451.62</v>
      </c>
      <c r="AI52" s="4">
        <v>73</v>
      </c>
      <c r="AJ52" s="4">
        <v>73</v>
      </c>
      <c r="AK52" s="30">
        <v>6893.25</v>
      </c>
      <c r="AL52" s="9">
        <v>6893.25</v>
      </c>
      <c r="AM52" s="4">
        <v>69</v>
      </c>
      <c r="AN52" s="4">
        <v>69</v>
      </c>
      <c r="AO52" s="30">
        <v>6994.35</v>
      </c>
      <c r="AP52" s="9">
        <v>6994.35</v>
      </c>
      <c r="AQ52" s="4">
        <v>69</v>
      </c>
      <c r="AR52" s="4">
        <v>69</v>
      </c>
      <c r="AS52" s="31"/>
      <c r="AT52" s="32">
        <f>AX52+BB52+BF52</f>
        <v>21245.9</v>
      </c>
      <c r="AU52" s="32">
        <f t="shared" si="68"/>
        <v>21245.9</v>
      </c>
      <c r="AV52" s="4">
        <v>78</v>
      </c>
      <c r="AW52" s="4">
        <f t="shared" si="69"/>
        <v>210</v>
      </c>
      <c r="AX52" s="30">
        <v>7098</v>
      </c>
      <c r="AY52" s="9">
        <v>7098</v>
      </c>
      <c r="AZ52" s="4">
        <v>72</v>
      </c>
      <c r="BA52" s="4">
        <v>72</v>
      </c>
      <c r="BB52" s="30">
        <v>7041.77</v>
      </c>
      <c r="BC52" s="9">
        <v>7041.77</v>
      </c>
      <c r="BD52" s="4">
        <v>67</v>
      </c>
      <c r="BE52" s="4">
        <v>68</v>
      </c>
      <c r="BF52" s="30">
        <v>7106.13</v>
      </c>
      <c r="BG52" s="9">
        <v>7106.13</v>
      </c>
      <c r="BH52" s="4">
        <v>70</v>
      </c>
      <c r="BI52" s="4">
        <v>70</v>
      </c>
      <c r="BJ52" s="31"/>
      <c r="BK52" s="32">
        <f t="shared" si="70"/>
        <v>20631.43</v>
      </c>
      <c r="BL52" s="32">
        <f t="shared" si="70"/>
        <v>20211.43</v>
      </c>
      <c r="BM52" s="4">
        <v>78</v>
      </c>
      <c r="BN52" s="4">
        <f>BR52+BV52+BZ52</f>
        <v>211</v>
      </c>
      <c r="BO52" s="9">
        <v>6905.5</v>
      </c>
      <c r="BP52" s="9">
        <v>6905.5</v>
      </c>
      <c r="BQ52" s="5">
        <v>69</v>
      </c>
      <c r="BR52" s="5">
        <v>69</v>
      </c>
      <c r="BS52" s="9">
        <v>6799.6</v>
      </c>
      <c r="BT52" s="9">
        <v>6379.6</v>
      </c>
      <c r="BU52" s="5">
        <v>72</v>
      </c>
      <c r="BV52" s="5">
        <v>72</v>
      </c>
      <c r="BW52" s="9">
        <v>6926.33</v>
      </c>
      <c r="BX52" s="9">
        <v>6926.33</v>
      </c>
      <c r="BY52" s="5">
        <v>70</v>
      </c>
      <c r="BZ52" s="5">
        <v>70</v>
      </c>
      <c r="CA52" s="27"/>
    </row>
    <row r="53" spans="1:79" s="46" customFormat="1" ht="42" customHeight="1" x14ac:dyDescent="0.25">
      <c r="A53" s="47"/>
      <c r="B53" s="36" t="s">
        <v>44</v>
      </c>
      <c r="C53" s="9"/>
      <c r="D53" s="9"/>
      <c r="E53" s="9">
        <v>320000</v>
      </c>
      <c r="F53" s="30"/>
      <c r="G53" s="30">
        <f t="shared" si="65"/>
        <v>320000</v>
      </c>
      <c r="H53" s="30">
        <f t="shared" si="65"/>
        <v>320000</v>
      </c>
      <c r="I53" s="4">
        <v>16</v>
      </c>
      <c r="J53" s="4">
        <f>O53+AF53+AW53+BN53</f>
        <v>16</v>
      </c>
      <c r="K53" s="31"/>
      <c r="L53" s="32">
        <f t="shared" si="66"/>
        <v>60000</v>
      </c>
      <c r="M53" s="32">
        <f t="shared" si="66"/>
        <v>60000</v>
      </c>
      <c r="N53" s="4">
        <v>3</v>
      </c>
      <c r="O53" s="4">
        <f>S53+W53+AA53</f>
        <v>3</v>
      </c>
      <c r="P53" s="30">
        <v>60000</v>
      </c>
      <c r="Q53" s="30">
        <v>40000</v>
      </c>
      <c r="R53" s="4">
        <v>3</v>
      </c>
      <c r="S53" s="4">
        <v>3</v>
      </c>
      <c r="T53" s="30">
        <v>0</v>
      </c>
      <c r="U53" s="30">
        <v>20000</v>
      </c>
      <c r="V53" s="4">
        <v>0</v>
      </c>
      <c r="W53" s="4">
        <v>0</v>
      </c>
      <c r="X53" s="30">
        <v>0</v>
      </c>
      <c r="Y53" s="30"/>
      <c r="Z53" s="4">
        <v>0</v>
      </c>
      <c r="AA53" s="4">
        <v>0</v>
      </c>
      <c r="AB53" s="31"/>
      <c r="AC53" s="32">
        <f t="shared" si="67"/>
        <v>120000</v>
      </c>
      <c r="AD53" s="32">
        <f t="shared" si="67"/>
        <v>120000</v>
      </c>
      <c r="AE53" s="4">
        <v>6</v>
      </c>
      <c r="AF53" s="4">
        <f>AJ53+AN53+AR53</f>
        <v>6</v>
      </c>
      <c r="AG53" s="30">
        <v>60000</v>
      </c>
      <c r="AH53" s="9">
        <v>60000</v>
      </c>
      <c r="AI53" s="4">
        <v>3</v>
      </c>
      <c r="AJ53" s="4">
        <v>3</v>
      </c>
      <c r="AK53" s="30">
        <v>20000</v>
      </c>
      <c r="AL53" s="9">
        <v>20000</v>
      </c>
      <c r="AM53" s="4">
        <v>1</v>
      </c>
      <c r="AN53" s="4">
        <v>1</v>
      </c>
      <c r="AO53" s="30">
        <v>40000</v>
      </c>
      <c r="AP53" s="9">
        <v>40000</v>
      </c>
      <c r="AQ53" s="4">
        <v>2</v>
      </c>
      <c r="AR53" s="4">
        <v>2</v>
      </c>
      <c r="AS53" s="31"/>
      <c r="AT53" s="32">
        <f t="shared" si="68"/>
        <v>120000</v>
      </c>
      <c r="AU53" s="32">
        <f t="shared" si="68"/>
        <v>120000</v>
      </c>
      <c r="AV53" s="4">
        <v>6</v>
      </c>
      <c r="AW53" s="4">
        <f t="shared" si="69"/>
        <v>6</v>
      </c>
      <c r="AX53" s="30">
        <v>60000</v>
      </c>
      <c r="AY53" s="9">
        <v>60000</v>
      </c>
      <c r="AZ53" s="4">
        <v>3</v>
      </c>
      <c r="BA53" s="4">
        <v>3</v>
      </c>
      <c r="BB53" s="30">
        <v>20000</v>
      </c>
      <c r="BC53" s="9">
        <v>20000</v>
      </c>
      <c r="BD53" s="4">
        <v>1</v>
      </c>
      <c r="BE53" s="4">
        <v>1</v>
      </c>
      <c r="BF53" s="30">
        <v>40000</v>
      </c>
      <c r="BG53" s="9">
        <v>40000</v>
      </c>
      <c r="BH53" s="4">
        <v>2</v>
      </c>
      <c r="BI53" s="4">
        <v>2</v>
      </c>
      <c r="BJ53" s="31"/>
      <c r="BK53" s="32">
        <f t="shared" si="70"/>
        <v>20000</v>
      </c>
      <c r="BL53" s="32">
        <f t="shared" si="70"/>
        <v>20000</v>
      </c>
      <c r="BM53" s="4">
        <v>1</v>
      </c>
      <c r="BN53" s="4">
        <f>BR53+BV53+BZ53</f>
        <v>1</v>
      </c>
      <c r="BO53" s="9">
        <v>0</v>
      </c>
      <c r="BP53" s="9"/>
      <c r="BQ53" s="5">
        <v>0</v>
      </c>
      <c r="BR53" s="5">
        <v>0</v>
      </c>
      <c r="BS53" s="9">
        <v>0</v>
      </c>
      <c r="BT53" s="9"/>
      <c r="BU53" s="5">
        <v>0</v>
      </c>
      <c r="BV53" s="5">
        <v>0</v>
      </c>
      <c r="BW53" s="9">
        <v>20000</v>
      </c>
      <c r="BX53" s="9">
        <v>20000</v>
      </c>
      <c r="BY53" s="5">
        <v>1</v>
      </c>
      <c r="BZ53" s="5">
        <v>1</v>
      </c>
      <c r="CA53" s="27"/>
    </row>
    <row r="54" spans="1:79" s="46" customFormat="1" ht="42" customHeight="1" x14ac:dyDescent="0.25">
      <c r="A54" s="47"/>
      <c r="B54" s="34" t="s">
        <v>45</v>
      </c>
      <c r="C54" s="9"/>
      <c r="D54" s="9"/>
      <c r="E54" s="9">
        <v>293100</v>
      </c>
      <c r="F54" s="30"/>
      <c r="G54" s="30">
        <f t="shared" si="65"/>
        <v>0</v>
      </c>
      <c r="H54" s="30">
        <f t="shared" si="65"/>
        <v>318420.65999999997</v>
      </c>
      <c r="I54" s="4"/>
      <c r="J54" s="4"/>
      <c r="K54" s="31"/>
      <c r="L54" s="32">
        <f t="shared" si="66"/>
        <v>0</v>
      </c>
      <c r="M54" s="32">
        <f t="shared" si="66"/>
        <v>177945.52</v>
      </c>
      <c r="N54" s="4"/>
      <c r="O54" s="4"/>
      <c r="P54" s="30"/>
      <c r="Q54" s="30"/>
      <c r="R54" s="4"/>
      <c r="S54" s="4"/>
      <c r="T54" s="30"/>
      <c r="U54" s="30">
        <f>60408.6</f>
        <v>60408.6</v>
      </c>
      <c r="V54" s="4"/>
      <c r="W54" s="4"/>
      <c r="X54" s="30"/>
      <c r="Y54" s="30">
        <f>92139.33+25397.59</f>
        <v>117536.92</v>
      </c>
      <c r="Z54" s="4"/>
      <c r="AA54" s="4"/>
      <c r="AB54" s="31"/>
      <c r="AC54" s="32">
        <f t="shared" si="67"/>
        <v>0</v>
      </c>
      <c r="AD54" s="32">
        <f t="shared" si="67"/>
        <v>7652.63</v>
      </c>
      <c r="AE54" s="4"/>
      <c r="AF54" s="4"/>
      <c r="AG54" s="30"/>
      <c r="AH54" s="9"/>
      <c r="AI54" s="4"/>
      <c r="AJ54" s="4"/>
      <c r="AK54" s="30"/>
      <c r="AL54" s="9">
        <f>7652.63</f>
        <v>7652.63</v>
      </c>
      <c r="AM54" s="4"/>
      <c r="AN54" s="4"/>
      <c r="AO54" s="30"/>
      <c r="AP54" s="9"/>
      <c r="AQ54" s="4"/>
      <c r="AR54" s="4"/>
      <c r="AS54" s="31"/>
      <c r="AT54" s="32">
        <f t="shared" si="68"/>
        <v>0</v>
      </c>
      <c r="AU54" s="32">
        <f t="shared" si="68"/>
        <v>83995.77</v>
      </c>
      <c r="AV54" s="4"/>
      <c r="AW54" s="4">
        <f t="shared" si="69"/>
        <v>0</v>
      </c>
      <c r="AX54" s="30"/>
      <c r="AY54" s="9"/>
      <c r="AZ54" s="4"/>
      <c r="BA54" s="4"/>
      <c r="BB54" s="30"/>
      <c r="BC54" s="9">
        <f>83995.77</f>
        <v>83995.77</v>
      </c>
      <c r="BD54" s="4"/>
      <c r="BE54" s="4"/>
      <c r="BF54" s="30"/>
      <c r="BG54" s="9"/>
      <c r="BH54" s="4"/>
      <c r="BI54" s="4"/>
      <c r="BJ54" s="31"/>
      <c r="BK54" s="32">
        <f t="shared" si="70"/>
        <v>0</v>
      </c>
      <c r="BL54" s="32">
        <f t="shared" si="70"/>
        <v>48826.74</v>
      </c>
      <c r="BM54" s="4"/>
      <c r="BN54" s="4"/>
      <c r="BO54" s="9"/>
      <c r="BP54" s="9">
        <f>10996.9+17297.84</f>
        <v>28294.739999999998</v>
      </c>
      <c r="BQ54" s="5"/>
      <c r="BR54" s="5"/>
      <c r="BS54" s="9"/>
      <c r="BT54" s="9"/>
      <c r="BU54" s="5"/>
      <c r="BV54" s="5"/>
      <c r="BW54" s="9"/>
      <c r="BX54" s="9">
        <f>20532</f>
        <v>20532</v>
      </c>
      <c r="BY54" s="5"/>
      <c r="BZ54" s="5"/>
      <c r="CA54" s="27"/>
    </row>
    <row r="55" spans="1:79" s="46" customFormat="1" ht="42" customHeight="1" x14ac:dyDescent="0.25">
      <c r="A55" s="39"/>
      <c r="B55" s="34" t="s">
        <v>46</v>
      </c>
      <c r="C55" s="9"/>
      <c r="D55" s="9"/>
      <c r="E55" s="9">
        <v>17576500</v>
      </c>
      <c r="F55" s="30"/>
      <c r="G55" s="30">
        <f t="shared" si="65"/>
        <v>0</v>
      </c>
      <c r="H55" s="30">
        <f t="shared" si="65"/>
        <v>17550162.490000002</v>
      </c>
      <c r="I55" s="4"/>
      <c r="J55" s="4"/>
      <c r="K55" s="31"/>
      <c r="L55" s="32">
        <f t="shared" si="66"/>
        <v>0</v>
      </c>
      <c r="M55" s="32">
        <f t="shared" si="66"/>
        <v>2754595.5300000003</v>
      </c>
      <c r="N55" s="4"/>
      <c r="O55" s="4"/>
      <c r="P55" s="30"/>
      <c r="Q55" s="30"/>
      <c r="R55" s="4"/>
      <c r="S55" s="4"/>
      <c r="T55" s="30"/>
      <c r="U55" s="30">
        <f>227280.73+114596.28+1139457.85</f>
        <v>1481334.86</v>
      </c>
      <c r="V55" s="4"/>
      <c r="W55" s="4"/>
      <c r="X55" s="30"/>
      <c r="Y55" s="30">
        <f>33282.94+1239977.73</f>
        <v>1273260.67</v>
      </c>
      <c r="Z55" s="4"/>
      <c r="AA55" s="4"/>
      <c r="AB55" s="31"/>
      <c r="AC55" s="32">
        <f t="shared" si="67"/>
        <v>0</v>
      </c>
      <c r="AD55" s="32">
        <f t="shared" si="67"/>
        <v>3819275.31</v>
      </c>
      <c r="AE55" s="4"/>
      <c r="AF55" s="4"/>
      <c r="AG55" s="30"/>
      <c r="AH55" s="9">
        <f>27429.63+80292.02+29608.96+1419.84+45473.73+210700+14209.61+8428</f>
        <v>417561.79000000004</v>
      </c>
      <c r="AI55" s="4"/>
      <c r="AJ55" s="4"/>
      <c r="AK55" s="30"/>
      <c r="AL55" s="9">
        <f>19189.76+1358555.74+29620.56+121562.49+447.97+736.7</f>
        <v>1530113.22</v>
      </c>
      <c r="AM55" s="4"/>
      <c r="AN55" s="4"/>
      <c r="AO55" s="30"/>
      <c r="AP55" s="9">
        <f>736.7+1179496.18+193846.14+40673.08+203540.61+27434.34+735.17+119870.35+44226+1468.38+35286.37+24286.98</f>
        <v>1871600.3</v>
      </c>
      <c r="AQ55" s="4"/>
      <c r="AR55" s="4"/>
      <c r="AS55" s="31"/>
      <c r="AT55" s="32">
        <f t="shared" si="68"/>
        <v>0</v>
      </c>
      <c r="AU55" s="32">
        <f t="shared" si="68"/>
        <v>4741451.18</v>
      </c>
      <c r="AV55" s="4"/>
      <c r="AW55" s="4">
        <f t="shared" si="69"/>
        <v>0</v>
      </c>
      <c r="AX55" s="30"/>
      <c r="AY55" s="9">
        <f>22908.32+1185466.34+174270.75+115865.23+28043.67+731.95+35610.59</f>
        <v>1562896.85</v>
      </c>
      <c r="AZ55" s="4"/>
      <c r="BA55" s="4"/>
      <c r="BB55" s="30"/>
      <c r="BC55" s="9">
        <f>1200155.88+25563.91+177263.45+25143.01+1083.58+116280+39033.19</f>
        <v>1584523.0199999998</v>
      </c>
      <c r="BD55" s="4"/>
      <c r="BE55" s="4"/>
      <c r="BF55" s="30"/>
      <c r="BG55" s="9">
        <f>1236658.01+27159+29475+176533.25+123255+951.05</f>
        <v>1594031.31</v>
      </c>
      <c r="BH55" s="4"/>
      <c r="BI55" s="4"/>
      <c r="BJ55" s="31"/>
      <c r="BK55" s="32">
        <f t="shared" si="70"/>
        <v>0</v>
      </c>
      <c r="BL55" s="32">
        <f t="shared" si="70"/>
        <v>6234840.4700000007</v>
      </c>
      <c r="BM55" s="4"/>
      <c r="BN55" s="4"/>
      <c r="BO55" s="9"/>
      <c r="BP55" s="9">
        <f>1252395.92+36884.79+174100+30450+25588.75+128385+736.7+36114+951.05</f>
        <v>1685606.21</v>
      </c>
      <c r="BQ55" s="5"/>
      <c r="BR55" s="5"/>
      <c r="BS55" s="9"/>
      <c r="BT55" s="9">
        <f>1256749.25+1361.6+522.35+25440.25+123219+31257.6</f>
        <v>1438550.0500000003</v>
      </c>
      <c r="BU55" s="5"/>
      <c r="BV55" s="5"/>
      <c r="BW55" s="9"/>
      <c r="BX55" s="9">
        <f>187705.09+34798.11+1917158.99+24296.25+129474+31891.2+405290.36+81496.25+116730.76+126324+55519.2</f>
        <v>3110684.21</v>
      </c>
      <c r="BY55" s="5"/>
      <c r="BZ55" s="5"/>
      <c r="CA55" s="27"/>
    </row>
    <row r="56" spans="1:79" s="46" customFormat="1" ht="42" customHeight="1" x14ac:dyDescent="0.25">
      <c r="A56" s="47"/>
      <c r="B56" s="34" t="s">
        <v>47</v>
      </c>
      <c r="C56" s="9"/>
      <c r="D56" s="9"/>
      <c r="E56" s="9">
        <v>36000</v>
      </c>
      <c r="F56" s="30"/>
      <c r="G56" s="30">
        <f t="shared" si="65"/>
        <v>0</v>
      </c>
      <c r="H56" s="30">
        <f t="shared" si="65"/>
        <v>36000</v>
      </c>
      <c r="I56" s="4"/>
      <c r="J56" s="4"/>
      <c r="K56" s="31"/>
      <c r="L56" s="32">
        <f t="shared" si="66"/>
        <v>0</v>
      </c>
      <c r="M56" s="32">
        <f t="shared" si="66"/>
        <v>9000</v>
      </c>
      <c r="N56" s="4"/>
      <c r="O56" s="4"/>
      <c r="P56" s="30"/>
      <c r="Q56" s="30">
        <v>3000</v>
      </c>
      <c r="R56" s="4"/>
      <c r="S56" s="4"/>
      <c r="T56" s="30"/>
      <c r="U56" s="30">
        <v>3000</v>
      </c>
      <c r="V56" s="4"/>
      <c r="W56" s="4"/>
      <c r="X56" s="30"/>
      <c r="Y56" s="30">
        <v>3000</v>
      </c>
      <c r="Z56" s="4"/>
      <c r="AA56" s="4"/>
      <c r="AB56" s="31"/>
      <c r="AC56" s="32">
        <f t="shared" si="67"/>
        <v>0</v>
      </c>
      <c r="AD56" s="32">
        <f t="shared" si="67"/>
        <v>9000</v>
      </c>
      <c r="AE56" s="4"/>
      <c r="AF56" s="4"/>
      <c r="AG56" s="30"/>
      <c r="AH56" s="9">
        <v>3000</v>
      </c>
      <c r="AI56" s="4"/>
      <c r="AJ56" s="4"/>
      <c r="AK56" s="30"/>
      <c r="AL56" s="9">
        <v>3000</v>
      </c>
      <c r="AM56" s="4"/>
      <c r="AN56" s="4"/>
      <c r="AO56" s="30"/>
      <c r="AP56" s="9">
        <v>3000</v>
      </c>
      <c r="AQ56" s="4"/>
      <c r="AR56" s="4"/>
      <c r="AS56" s="31"/>
      <c r="AT56" s="32">
        <f t="shared" si="68"/>
        <v>0</v>
      </c>
      <c r="AU56" s="32">
        <f t="shared" si="68"/>
        <v>9000</v>
      </c>
      <c r="AV56" s="4"/>
      <c r="AW56" s="4">
        <f t="shared" si="69"/>
        <v>0</v>
      </c>
      <c r="AX56" s="30"/>
      <c r="AY56" s="9">
        <v>3000</v>
      </c>
      <c r="AZ56" s="4"/>
      <c r="BA56" s="4"/>
      <c r="BB56" s="30"/>
      <c r="BC56" s="9">
        <v>3000</v>
      </c>
      <c r="BD56" s="4"/>
      <c r="BE56" s="4"/>
      <c r="BF56" s="30"/>
      <c r="BG56" s="9">
        <v>3000</v>
      </c>
      <c r="BH56" s="4"/>
      <c r="BI56" s="4"/>
      <c r="BJ56" s="31"/>
      <c r="BK56" s="32">
        <f t="shared" si="70"/>
        <v>0</v>
      </c>
      <c r="BL56" s="32">
        <f t="shared" si="70"/>
        <v>9000</v>
      </c>
      <c r="BM56" s="4"/>
      <c r="BN56" s="4"/>
      <c r="BO56" s="9"/>
      <c r="BP56" s="9">
        <v>3000</v>
      </c>
      <c r="BQ56" s="5"/>
      <c r="BR56" s="5"/>
      <c r="BS56" s="9"/>
      <c r="BT56" s="9">
        <v>3000</v>
      </c>
      <c r="BU56" s="5"/>
      <c r="BV56" s="5"/>
      <c r="BW56" s="9"/>
      <c r="BX56" s="9">
        <v>3000</v>
      </c>
      <c r="BY56" s="5"/>
      <c r="BZ56" s="5"/>
      <c r="CA56" s="27"/>
    </row>
    <row r="57" spans="1:79" s="35" customFormat="1" ht="42" customHeight="1" x14ac:dyDescent="0.25">
      <c r="A57" s="22" t="s">
        <v>48</v>
      </c>
      <c r="B57" s="23" t="s">
        <v>49</v>
      </c>
      <c r="C57" s="10">
        <v>2800000</v>
      </c>
      <c r="D57" s="10">
        <v>2851900</v>
      </c>
      <c r="E57" s="10">
        <f>SUM(E58:E61)</f>
        <v>2851900</v>
      </c>
      <c r="F57" s="25">
        <f>K57+AB57+AS57+BJ57</f>
        <v>2851900</v>
      </c>
      <c r="G57" s="26">
        <f t="shared" ref="G57:AR57" si="71">SUM(G58:G61)</f>
        <v>2014597.4</v>
      </c>
      <c r="H57" s="26">
        <f t="shared" si="71"/>
        <v>2851658.43</v>
      </c>
      <c r="I57" s="1">
        <f t="shared" si="71"/>
        <v>2810</v>
      </c>
      <c r="J57" s="1">
        <f t="shared" si="71"/>
        <v>48171</v>
      </c>
      <c r="K57" s="10">
        <v>727700</v>
      </c>
      <c r="L57" s="26">
        <f t="shared" si="71"/>
        <v>433217.04000000004</v>
      </c>
      <c r="M57" s="26">
        <f t="shared" si="71"/>
        <v>727027.1399999999</v>
      </c>
      <c r="N57" s="1">
        <f t="shared" si="71"/>
        <v>816</v>
      </c>
      <c r="O57" s="1">
        <f t="shared" si="71"/>
        <v>10845</v>
      </c>
      <c r="P57" s="26">
        <f t="shared" si="71"/>
        <v>149006.97</v>
      </c>
      <c r="Q57" s="26">
        <f t="shared" si="71"/>
        <v>160652.39000000001</v>
      </c>
      <c r="R57" s="1">
        <f t="shared" si="71"/>
        <v>384</v>
      </c>
      <c r="S57" s="1">
        <f t="shared" si="71"/>
        <v>3615</v>
      </c>
      <c r="T57" s="26">
        <f t="shared" si="71"/>
        <v>133910.74</v>
      </c>
      <c r="U57" s="26">
        <f t="shared" si="71"/>
        <v>325019.34999999998</v>
      </c>
      <c r="V57" s="1">
        <f t="shared" si="71"/>
        <v>428</v>
      </c>
      <c r="W57" s="1">
        <f t="shared" si="71"/>
        <v>3492</v>
      </c>
      <c r="X57" s="26">
        <f t="shared" si="71"/>
        <v>150299.33000000002</v>
      </c>
      <c r="Y57" s="26">
        <f t="shared" si="71"/>
        <v>241355.4</v>
      </c>
      <c r="Z57" s="1">
        <f t="shared" si="71"/>
        <v>458</v>
      </c>
      <c r="AA57" s="1">
        <f t="shared" si="71"/>
        <v>3738</v>
      </c>
      <c r="AB57" s="10">
        <v>937500</v>
      </c>
      <c r="AC57" s="26">
        <f t="shared" ref="AC57:AH57" si="72">SUM(AC58:AC61)</f>
        <v>419493.63</v>
      </c>
      <c r="AD57" s="26">
        <f t="shared" si="72"/>
        <v>817951.58</v>
      </c>
      <c r="AE57" s="1">
        <f t="shared" si="72"/>
        <v>830</v>
      </c>
      <c r="AF57" s="1">
        <f t="shared" si="72"/>
        <v>10810</v>
      </c>
      <c r="AG57" s="26">
        <f t="shared" si="72"/>
        <v>205242.83000000002</v>
      </c>
      <c r="AH57" s="10">
        <f t="shared" si="72"/>
        <v>196199.83</v>
      </c>
      <c r="AI57" s="1">
        <f t="shared" si="71"/>
        <v>532</v>
      </c>
      <c r="AJ57" s="1">
        <f t="shared" si="71"/>
        <v>4647</v>
      </c>
      <c r="AK57" s="26">
        <f t="shared" si="71"/>
        <v>193141.8</v>
      </c>
      <c r="AL57" s="10">
        <f t="shared" si="71"/>
        <v>541362.12</v>
      </c>
      <c r="AM57" s="1">
        <f>SUM(AM58:AM61)</f>
        <v>457</v>
      </c>
      <c r="AN57" s="1">
        <f>SUM(AN58:AN61)</f>
        <v>4241</v>
      </c>
      <c r="AO57" s="26">
        <f t="shared" si="71"/>
        <v>21109</v>
      </c>
      <c r="AP57" s="10">
        <f t="shared" si="71"/>
        <v>80389.63</v>
      </c>
      <c r="AQ57" s="1">
        <f t="shared" si="71"/>
        <v>269</v>
      </c>
      <c r="AR57" s="1">
        <f t="shared" si="71"/>
        <v>1922</v>
      </c>
      <c r="AS57" s="10">
        <v>462500</v>
      </c>
      <c r="AT57" s="26">
        <f t="shared" ref="AT57:BZ57" si="73">SUM(AT58:AT61)</f>
        <v>680069.69</v>
      </c>
      <c r="AU57" s="26">
        <f t="shared" si="73"/>
        <v>581986.73</v>
      </c>
      <c r="AV57" s="1">
        <f t="shared" si="73"/>
        <v>1082</v>
      </c>
      <c r="AW57" s="1">
        <f t="shared" si="73"/>
        <v>15016</v>
      </c>
      <c r="AX57" s="26">
        <f t="shared" si="73"/>
        <v>20669</v>
      </c>
      <c r="AY57" s="10">
        <f t="shared" si="73"/>
        <v>45415.33</v>
      </c>
      <c r="AZ57" s="1">
        <f t="shared" si="73"/>
        <v>259</v>
      </c>
      <c r="BA57" s="1">
        <f t="shared" si="73"/>
        <v>1922</v>
      </c>
      <c r="BB57" s="26">
        <f t="shared" si="73"/>
        <v>220908.14</v>
      </c>
      <c r="BC57" s="10">
        <f t="shared" si="73"/>
        <v>77004.33</v>
      </c>
      <c r="BD57" s="1">
        <f t="shared" si="73"/>
        <v>547</v>
      </c>
      <c r="BE57" s="1">
        <f t="shared" si="73"/>
        <v>4949</v>
      </c>
      <c r="BF57" s="26">
        <f t="shared" si="73"/>
        <v>438492.55</v>
      </c>
      <c r="BG57" s="10">
        <f t="shared" si="73"/>
        <v>459567.07</v>
      </c>
      <c r="BH57" s="1">
        <f t="shared" si="73"/>
        <v>757</v>
      </c>
      <c r="BI57" s="1">
        <f t="shared" si="73"/>
        <v>8145</v>
      </c>
      <c r="BJ57" s="10">
        <v>724200</v>
      </c>
      <c r="BK57" s="26">
        <f t="shared" si="73"/>
        <v>481817.04000000004</v>
      </c>
      <c r="BL57" s="26">
        <f t="shared" si="73"/>
        <v>724692.98</v>
      </c>
      <c r="BM57" s="1">
        <f>SUM(BM58:BM61)</f>
        <v>908</v>
      </c>
      <c r="BN57" s="1">
        <f>SUM(BN58:BN61)</f>
        <v>11500</v>
      </c>
      <c r="BO57" s="10">
        <f t="shared" si="73"/>
        <v>109251</v>
      </c>
      <c r="BP57" s="10">
        <f t="shared" si="73"/>
        <v>304460.28000000003</v>
      </c>
      <c r="BQ57" s="2">
        <f t="shared" si="73"/>
        <v>390</v>
      </c>
      <c r="BR57" s="2">
        <f t="shared" si="73"/>
        <v>3059</v>
      </c>
      <c r="BS57" s="10">
        <f t="shared" si="73"/>
        <v>190348.14</v>
      </c>
      <c r="BT57" s="10">
        <f t="shared" si="73"/>
        <v>188839.58000000002</v>
      </c>
      <c r="BU57" s="2">
        <f>SUM(BU58:BU61)</f>
        <v>473</v>
      </c>
      <c r="BV57" s="2">
        <f>SUM(BV58:BV61)</f>
        <v>4289</v>
      </c>
      <c r="BW57" s="10">
        <f t="shared" si="73"/>
        <v>182217.9</v>
      </c>
      <c r="BX57" s="10">
        <f t="shared" si="73"/>
        <v>231393.12</v>
      </c>
      <c r="BY57" s="2">
        <f t="shared" si="73"/>
        <v>479</v>
      </c>
      <c r="BZ57" s="2">
        <f t="shared" si="73"/>
        <v>4152</v>
      </c>
      <c r="CA57" s="27"/>
    </row>
    <row r="58" spans="1:79" s="35" customFormat="1" ht="42" customHeight="1" x14ac:dyDescent="0.25">
      <c r="A58" s="47"/>
      <c r="B58" s="34" t="s">
        <v>50</v>
      </c>
      <c r="C58" s="9"/>
      <c r="D58" s="9"/>
      <c r="E58" s="9">
        <v>233100</v>
      </c>
      <c r="F58" s="30"/>
      <c r="G58" s="30">
        <f t="shared" ref="G58:H61" si="74">L58+AC58+AT58+BK58</f>
        <v>233024</v>
      </c>
      <c r="H58" s="30">
        <f t="shared" si="74"/>
        <v>233024</v>
      </c>
      <c r="I58" s="4">
        <v>957</v>
      </c>
      <c r="J58" s="4">
        <f>O58+AF58+AW58+BN58</f>
        <v>21304</v>
      </c>
      <c r="K58" s="31"/>
      <c r="L58" s="32">
        <f t="shared" ref="L58:M61" si="75">P58+T58+X58</f>
        <v>56408</v>
      </c>
      <c r="M58" s="32">
        <f t="shared" si="75"/>
        <v>56188</v>
      </c>
      <c r="N58" s="4">
        <v>362</v>
      </c>
      <c r="O58" s="4">
        <f>S58+W58+AA58</f>
        <v>5125</v>
      </c>
      <c r="P58" s="30">
        <v>17798</v>
      </c>
      <c r="Q58" s="30">
        <v>15961</v>
      </c>
      <c r="R58" s="4">
        <v>223</v>
      </c>
      <c r="S58" s="4">
        <v>1628</v>
      </c>
      <c r="T58" s="30">
        <v>19228</v>
      </c>
      <c r="U58" s="30">
        <v>20361</v>
      </c>
      <c r="V58" s="4">
        <v>241</v>
      </c>
      <c r="W58" s="4">
        <v>1748</v>
      </c>
      <c r="X58" s="30">
        <v>19382</v>
      </c>
      <c r="Y58" s="30">
        <v>19866</v>
      </c>
      <c r="Z58" s="4">
        <v>243</v>
      </c>
      <c r="AA58" s="4">
        <v>1749</v>
      </c>
      <c r="AB58" s="31"/>
      <c r="AC58" s="32">
        <f t="shared" ref="AC58:AD61" si="76">AG58+AK58+AO58</f>
        <v>59312</v>
      </c>
      <c r="AD58" s="32">
        <f t="shared" si="76"/>
        <v>57739</v>
      </c>
      <c r="AE58" s="4">
        <v>405</v>
      </c>
      <c r="AF58" s="4">
        <f>AJ58+AN58+AR58</f>
        <v>5421</v>
      </c>
      <c r="AG58" s="30">
        <v>20218</v>
      </c>
      <c r="AH58" s="9">
        <v>9075</v>
      </c>
      <c r="AI58" s="4">
        <v>257</v>
      </c>
      <c r="AJ58" s="4">
        <v>1851</v>
      </c>
      <c r="AK58" s="30">
        <v>17985</v>
      </c>
      <c r="AL58" s="9">
        <v>23617</v>
      </c>
      <c r="AM58" s="4">
        <v>227</v>
      </c>
      <c r="AN58" s="4">
        <v>1648</v>
      </c>
      <c r="AO58" s="30">
        <v>21109</v>
      </c>
      <c r="AP58" s="9">
        <v>25047</v>
      </c>
      <c r="AQ58" s="4">
        <v>269</v>
      </c>
      <c r="AR58" s="4">
        <v>1922</v>
      </c>
      <c r="AS58" s="31"/>
      <c r="AT58" s="32">
        <f t="shared" ref="AT58:AU61" si="77">AX58+BB58+BF58</f>
        <v>61655</v>
      </c>
      <c r="AU58" s="32">
        <f t="shared" si="77"/>
        <v>61380</v>
      </c>
      <c r="AV58" s="4">
        <v>384</v>
      </c>
      <c r="AW58" s="4">
        <f>BA58+BE58+BI58</f>
        <v>5676</v>
      </c>
      <c r="AX58" s="30">
        <v>20669</v>
      </c>
      <c r="AY58" s="9">
        <v>21582</v>
      </c>
      <c r="AZ58" s="4">
        <v>259</v>
      </c>
      <c r="BA58" s="4">
        <v>1922</v>
      </c>
      <c r="BB58" s="30">
        <v>21076</v>
      </c>
      <c r="BC58" s="9">
        <v>21956</v>
      </c>
      <c r="BD58" s="4">
        <v>267</v>
      </c>
      <c r="BE58" s="4">
        <v>1922</v>
      </c>
      <c r="BF58" s="30">
        <v>19910</v>
      </c>
      <c r="BG58" s="9">
        <v>17842</v>
      </c>
      <c r="BH58" s="4">
        <v>254</v>
      </c>
      <c r="BI58" s="4">
        <v>1832</v>
      </c>
      <c r="BJ58" s="31"/>
      <c r="BK58" s="32">
        <f t="shared" ref="BK58:BL61" si="78">BO58+BS58+BW58</f>
        <v>55649</v>
      </c>
      <c r="BL58" s="32">
        <f t="shared" si="78"/>
        <v>57717</v>
      </c>
      <c r="BM58" s="4">
        <v>378</v>
      </c>
      <c r="BN58" s="4">
        <f>BR58+BV58+BZ58</f>
        <v>5082</v>
      </c>
      <c r="BO58" s="9">
        <v>18381</v>
      </c>
      <c r="BP58" s="9">
        <v>20449</v>
      </c>
      <c r="BQ58" s="5">
        <v>235</v>
      </c>
      <c r="BR58" s="5">
        <v>1686</v>
      </c>
      <c r="BS58" s="9">
        <v>19041</v>
      </c>
      <c r="BT58" s="9">
        <v>10692</v>
      </c>
      <c r="BU58" s="5">
        <v>238</v>
      </c>
      <c r="BV58" s="5">
        <v>1731</v>
      </c>
      <c r="BW58" s="9">
        <v>18227</v>
      </c>
      <c r="BX58" s="9">
        <v>26576</v>
      </c>
      <c r="BY58" s="5">
        <v>235</v>
      </c>
      <c r="BZ58" s="5">
        <v>1665</v>
      </c>
      <c r="CA58" s="27"/>
    </row>
    <row r="59" spans="1:79" s="35" customFormat="1" ht="42" customHeight="1" x14ac:dyDescent="0.25">
      <c r="A59" s="47"/>
      <c r="B59" s="34" t="s">
        <v>51</v>
      </c>
      <c r="C59" s="9"/>
      <c r="D59" s="9"/>
      <c r="E59" s="9">
        <v>1781600</v>
      </c>
      <c r="F59" s="30"/>
      <c r="G59" s="30">
        <f t="shared" si="74"/>
        <v>1781573.4</v>
      </c>
      <c r="H59" s="30">
        <f t="shared" si="74"/>
        <v>1781573.4</v>
      </c>
      <c r="I59" s="4">
        <v>1853</v>
      </c>
      <c r="J59" s="4">
        <f>O59+AF59+AW59+BN59</f>
        <v>26867</v>
      </c>
      <c r="K59" s="31"/>
      <c r="L59" s="32">
        <f t="shared" si="75"/>
        <v>376809.04000000004</v>
      </c>
      <c r="M59" s="32">
        <f t="shared" si="75"/>
        <v>347756.70999999996</v>
      </c>
      <c r="N59" s="4">
        <v>454</v>
      </c>
      <c r="O59" s="4">
        <f>S59+W59+AA59</f>
        <v>5720</v>
      </c>
      <c r="P59" s="30">
        <v>131208.97</v>
      </c>
      <c r="Q59" s="30">
        <v>98077.28</v>
      </c>
      <c r="R59" s="4">
        <v>161</v>
      </c>
      <c r="S59" s="4">
        <v>1987</v>
      </c>
      <c r="T59" s="30">
        <v>114682.74</v>
      </c>
      <c r="U59" s="30">
        <v>111476.35</v>
      </c>
      <c r="V59" s="4">
        <v>187</v>
      </c>
      <c r="W59" s="4">
        <v>1744</v>
      </c>
      <c r="X59" s="30">
        <v>130917.33</v>
      </c>
      <c r="Y59" s="30">
        <v>138203.07999999999</v>
      </c>
      <c r="Z59" s="4">
        <v>215</v>
      </c>
      <c r="AA59" s="4">
        <v>1989</v>
      </c>
      <c r="AB59" s="31"/>
      <c r="AC59" s="32">
        <f t="shared" si="76"/>
        <v>360181.63</v>
      </c>
      <c r="AD59" s="32">
        <f t="shared" si="76"/>
        <v>389233.95999999996</v>
      </c>
      <c r="AE59" s="4">
        <v>425</v>
      </c>
      <c r="AF59" s="4">
        <f>AJ59+AN59+AR59</f>
        <v>5389</v>
      </c>
      <c r="AG59" s="30">
        <v>185024.83000000002</v>
      </c>
      <c r="AH59" s="9">
        <v>163459.82999999999</v>
      </c>
      <c r="AI59" s="4">
        <v>275</v>
      </c>
      <c r="AJ59" s="4">
        <v>2796</v>
      </c>
      <c r="AK59" s="30">
        <v>175156.8</v>
      </c>
      <c r="AL59" s="9">
        <v>194264.83</v>
      </c>
      <c r="AM59" s="4">
        <v>230</v>
      </c>
      <c r="AN59" s="4">
        <v>2593</v>
      </c>
      <c r="AO59" s="30">
        <v>0</v>
      </c>
      <c r="AP59" s="9">
        <v>31509.3</v>
      </c>
      <c r="AQ59" s="4">
        <v>0</v>
      </c>
      <c r="AR59" s="4">
        <v>0</v>
      </c>
      <c r="AS59" s="31"/>
      <c r="AT59" s="32">
        <f t="shared" si="77"/>
        <v>618414.68999999994</v>
      </c>
      <c r="AU59" s="32">
        <f t="shared" si="77"/>
        <v>449106.74</v>
      </c>
      <c r="AV59" s="4">
        <v>698</v>
      </c>
      <c r="AW59" s="4">
        <f>BA59+BE59+BI59</f>
        <v>9340</v>
      </c>
      <c r="AX59" s="30">
        <v>0</v>
      </c>
      <c r="AY59" s="9"/>
      <c r="AZ59" s="4">
        <v>0</v>
      </c>
      <c r="BA59" s="4">
        <v>0</v>
      </c>
      <c r="BB59" s="30">
        <v>199832.14</v>
      </c>
      <c r="BC59" s="9">
        <v>31215</v>
      </c>
      <c r="BD59" s="4">
        <v>280</v>
      </c>
      <c r="BE59" s="4">
        <v>3027</v>
      </c>
      <c r="BF59" s="30">
        <v>418582.55</v>
      </c>
      <c r="BG59" s="9">
        <v>417891.74</v>
      </c>
      <c r="BH59" s="4">
        <v>503</v>
      </c>
      <c r="BI59" s="4">
        <v>6313</v>
      </c>
      <c r="BJ59" s="31"/>
      <c r="BK59" s="32">
        <f t="shared" si="78"/>
        <v>426168.04000000004</v>
      </c>
      <c r="BL59" s="32">
        <f t="shared" si="78"/>
        <v>595475.99</v>
      </c>
      <c r="BM59" s="4">
        <v>530</v>
      </c>
      <c r="BN59" s="4">
        <f>BR59+BV59+BZ59</f>
        <v>6418</v>
      </c>
      <c r="BO59" s="9">
        <v>90870</v>
      </c>
      <c r="BP59" s="9">
        <v>260177.95</v>
      </c>
      <c r="BQ59" s="5">
        <v>155</v>
      </c>
      <c r="BR59" s="5">
        <v>1373</v>
      </c>
      <c r="BS59" s="9">
        <v>171307.14</v>
      </c>
      <c r="BT59" s="9">
        <v>154314.25</v>
      </c>
      <c r="BU59" s="5">
        <v>235</v>
      </c>
      <c r="BV59" s="5">
        <v>2558</v>
      </c>
      <c r="BW59" s="9">
        <v>163990.9</v>
      </c>
      <c r="BX59" s="9">
        <v>180983.79</v>
      </c>
      <c r="BY59" s="5">
        <v>244</v>
      </c>
      <c r="BZ59" s="5">
        <v>2487</v>
      </c>
      <c r="CA59" s="27"/>
    </row>
    <row r="60" spans="1:79" s="35" customFormat="1" ht="52.5" customHeight="1" x14ac:dyDescent="0.25">
      <c r="A60" s="48"/>
      <c r="B60" s="34" t="s">
        <v>122</v>
      </c>
      <c r="C60" s="9"/>
      <c r="D60" s="9"/>
      <c r="E60" s="9">
        <v>551800</v>
      </c>
      <c r="F60" s="30"/>
      <c r="G60" s="30">
        <f t="shared" si="74"/>
        <v>0</v>
      </c>
      <c r="H60" s="30">
        <f t="shared" si="74"/>
        <v>551734.39</v>
      </c>
      <c r="I60" s="4"/>
      <c r="J60" s="4">
        <f>O60+AF60+AW60+BN60</f>
        <v>0</v>
      </c>
      <c r="K60" s="31"/>
      <c r="L60" s="32">
        <f t="shared" si="75"/>
        <v>0</v>
      </c>
      <c r="M60" s="32">
        <f t="shared" si="75"/>
        <v>252087.43</v>
      </c>
      <c r="N60" s="4"/>
      <c r="O60" s="4"/>
      <c r="P60" s="30"/>
      <c r="Q60" s="30">
        <f>22949.11</f>
        <v>22949.11</v>
      </c>
      <c r="R60" s="4"/>
      <c r="S60" s="4"/>
      <c r="T60" s="30"/>
      <c r="U60" s="30">
        <f>15065.85+42270.69+63837.86+38542.6+9800</f>
        <v>169517</v>
      </c>
      <c r="V60" s="4"/>
      <c r="W60" s="4"/>
      <c r="X60" s="30"/>
      <c r="Y60" s="30">
        <f>1375.52+58245.8</f>
        <v>59621.32</v>
      </c>
      <c r="Z60" s="4"/>
      <c r="AA60" s="4"/>
      <c r="AB60" s="31"/>
      <c r="AC60" s="32">
        <f t="shared" si="76"/>
        <v>0</v>
      </c>
      <c r="AD60" s="32">
        <f t="shared" si="76"/>
        <v>299646.96000000002</v>
      </c>
      <c r="AE60" s="4"/>
      <c r="AF60" s="4"/>
      <c r="AG60" s="30"/>
      <c r="AH60" s="9"/>
      <c r="AI60" s="4"/>
      <c r="AJ60" s="4"/>
      <c r="AK60" s="30"/>
      <c r="AL60" s="9">
        <f>13818.59+285828.37</f>
        <v>299646.96000000002</v>
      </c>
      <c r="AM60" s="4"/>
      <c r="AN60" s="4"/>
      <c r="AO60" s="30"/>
      <c r="AP60" s="9"/>
      <c r="AQ60" s="4"/>
      <c r="AR60" s="4"/>
      <c r="AS60" s="31"/>
      <c r="AT60" s="32">
        <f t="shared" si="77"/>
        <v>0</v>
      </c>
      <c r="AU60" s="32">
        <f t="shared" si="77"/>
        <v>0</v>
      </c>
      <c r="AV60" s="4"/>
      <c r="AW60" s="4">
        <f>BA60+BE60+BI60</f>
        <v>0</v>
      </c>
      <c r="AX60" s="30"/>
      <c r="AY60" s="9"/>
      <c r="AZ60" s="4"/>
      <c r="BA60" s="4"/>
      <c r="BB60" s="30"/>
      <c r="BC60" s="9"/>
      <c r="BD60" s="4"/>
      <c r="BE60" s="4"/>
      <c r="BF60" s="30"/>
      <c r="BG60" s="9"/>
      <c r="BH60" s="4"/>
      <c r="BI60" s="4"/>
      <c r="BJ60" s="31"/>
      <c r="BK60" s="32">
        <f t="shared" si="78"/>
        <v>0</v>
      </c>
      <c r="BL60" s="32">
        <f t="shared" si="78"/>
        <v>0</v>
      </c>
      <c r="BM60" s="4"/>
      <c r="BN60" s="4"/>
      <c r="BO60" s="9"/>
      <c r="BP60" s="9"/>
      <c r="BQ60" s="5"/>
      <c r="BR60" s="5"/>
      <c r="BS60" s="9"/>
      <c r="BT60" s="9"/>
      <c r="BU60" s="5"/>
      <c r="BV60" s="5"/>
      <c r="BW60" s="9"/>
      <c r="BX60" s="9"/>
      <c r="BY60" s="5"/>
      <c r="BZ60" s="5"/>
      <c r="CA60" s="27"/>
    </row>
    <row r="61" spans="1:79" s="35" customFormat="1" ht="66.75" customHeight="1" x14ac:dyDescent="0.25">
      <c r="A61" s="48"/>
      <c r="B61" s="34" t="s">
        <v>123</v>
      </c>
      <c r="C61" s="9"/>
      <c r="D61" s="9"/>
      <c r="E61" s="9">
        <v>285400</v>
      </c>
      <c r="F61" s="30"/>
      <c r="G61" s="30">
        <f t="shared" si="74"/>
        <v>0</v>
      </c>
      <c r="H61" s="30">
        <f t="shared" si="74"/>
        <v>285326.64</v>
      </c>
      <c r="I61" s="4"/>
      <c r="J61" s="4">
        <f>O61+AF61+AW61+BN61</f>
        <v>0</v>
      </c>
      <c r="K61" s="31"/>
      <c r="L61" s="32">
        <f t="shared" si="75"/>
        <v>0</v>
      </c>
      <c r="M61" s="32">
        <f t="shared" si="75"/>
        <v>70995</v>
      </c>
      <c r="N61" s="4"/>
      <c r="O61" s="4"/>
      <c r="P61" s="30"/>
      <c r="Q61" s="30">
        <v>23665</v>
      </c>
      <c r="R61" s="4"/>
      <c r="S61" s="4"/>
      <c r="T61" s="30"/>
      <c r="U61" s="30">
        <v>23665</v>
      </c>
      <c r="V61" s="4"/>
      <c r="W61" s="4"/>
      <c r="X61" s="30"/>
      <c r="Y61" s="30">
        <v>23665</v>
      </c>
      <c r="Z61" s="4"/>
      <c r="AA61" s="4"/>
      <c r="AB61" s="31"/>
      <c r="AC61" s="32">
        <f t="shared" si="76"/>
        <v>0</v>
      </c>
      <c r="AD61" s="32">
        <f t="shared" si="76"/>
        <v>71331.66</v>
      </c>
      <c r="AE61" s="4"/>
      <c r="AF61" s="4"/>
      <c r="AG61" s="30"/>
      <c r="AH61" s="9">
        <v>23665</v>
      </c>
      <c r="AI61" s="4"/>
      <c r="AJ61" s="4"/>
      <c r="AK61" s="30"/>
      <c r="AL61" s="9">
        <v>23833.33</v>
      </c>
      <c r="AM61" s="4"/>
      <c r="AN61" s="4"/>
      <c r="AO61" s="30"/>
      <c r="AP61" s="9">
        <v>23833.33</v>
      </c>
      <c r="AQ61" s="4"/>
      <c r="AR61" s="4"/>
      <c r="AS61" s="31"/>
      <c r="AT61" s="32">
        <f t="shared" si="77"/>
        <v>0</v>
      </c>
      <c r="AU61" s="32">
        <f t="shared" si="77"/>
        <v>71499.990000000005</v>
      </c>
      <c r="AV61" s="4"/>
      <c r="AW61" s="4">
        <f>BA61+BE61+BI61</f>
        <v>0</v>
      </c>
      <c r="AX61" s="30"/>
      <c r="AY61" s="9">
        <v>23833.33</v>
      </c>
      <c r="AZ61" s="4"/>
      <c r="BA61" s="4"/>
      <c r="BB61" s="30"/>
      <c r="BC61" s="9">
        <v>23833.33</v>
      </c>
      <c r="BD61" s="4"/>
      <c r="BE61" s="4"/>
      <c r="BF61" s="30"/>
      <c r="BG61" s="9">
        <v>23833.33</v>
      </c>
      <c r="BH61" s="4"/>
      <c r="BI61" s="4"/>
      <c r="BJ61" s="31"/>
      <c r="BK61" s="32">
        <f t="shared" si="78"/>
        <v>0</v>
      </c>
      <c r="BL61" s="32">
        <f t="shared" si="78"/>
        <v>71499.990000000005</v>
      </c>
      <c r="BM61" s="4"/>
      <c r="BN61" s="4"/>
      <c r="BO61" s="9"/>
      <c r="BP61" s="9">
        <v>23833.33</v>
      </c>
      <c r="BQ61" s="5"/>
      <c r="BR61" s="5"/>
      <c r="BS61" s="9"/>
      <c r="BT61" s="9">
        <v>23833.33</v>
      </c>
      <c r="BU61" s="5"/>
      <c r="BV61" s="5"/>
      <c r="BW61" s="9"/>
      <c r="BX61" s="9">
        <v>23833.33</v>
      </c>
      <c r="BY61" s="5"/>
      <c r="BZ61" s="5"/>
      <c r="CA61" s="27"/>
    </row>
    <row r="62" spans="1:79" s="28" customFormat="1" ht="42" customHeight="1" x14ac:dyDescent="0.2">
      <c r="A62" s="22" t="s">
        <v>52</v>
      </c>
      <c r="B62" s="49" t="s">
        <v>53</v>
      </c>
      <c r="C62" s="10">
        <v>8000000</v>
      </c>
      <c r="D62" s="10">
        <v>8536100</v>
      </c>
      <c r="E62" s="10">
        <f>SUM(E63:E73)</f>
        <v>8536100</v>
      </c>
      <c r="F62" s="25">
        <f>K62+AB62+AS62+BJ62</f>
        <v>8536100</v>
      </c>
      <c r="G62" s="26">
        <f t="shared" ref="G62:AR62" si="79">SUM(G63:G73)</f>
        <v>629331.13</v>
      </c>
      <c r="H62" s="26">
        <f t="shared" si="79"/>
        <v>8534223.5</v>
      </c>
      <c r="I62" s="1">
        <f t="shared" si="79"/>
        <v>999</v>
      </c>
      <c r="J62" s="1">
        <f t="shared" si="79"/>
        <v>5249</v>
      </c>
      <c r="K62" s="10">
        <v>2913900</v>
      </c>
      <c r="L62" s="26">
        <f t="shared" si="79"/>
        <v>150467.94</v>
      </c>
      <c r="M62" s="26">
        <f t="shared" si="79"/>
        <v>2904138.7299999995</v>
      </c>
      <c r="N62" s="1">
        <f t="shared" si="79"/>
        <v>480</v>
      </c>
      <c r="O62" s="1">
        <f t="shared" si="79"/>
        <v>1642</v>
      </c>
      <c r="P62" s="26">
        <f t="shared" si="79"/>
        <v>53577.32</v>
      </c>
      <c r="Q62" s="26">
        <f t="shared" si="79"/>
        <v>861126.54999999993</v>
      </c>
      <c r="R62" s="1">
        <f t="shared" si="79"/>
        <v>255</v>
      </c>
      <c r="S62" s="1">
        <f t="shared" si="79"/>
        <v>680</v>
      </c>
      <c r="T62" s="26">
        <f t="shared" si="79"/>
        <v>51386.94</v>
      </c>
      <c r="U62" s="26">
        <f t="shared" si="79"/>
        <v>1561824.23</v>
      </c>
      <c r="V62" s="1">
        <f t="shared" si="79"/>
        <v>216</v>
      </c>
      <c r="W62" s="1">
        <f t="shared" si="79"/>
        <v>596</v>
      </c>
      <c r="X62" s="26">
        <f t="shared" si="79"/>
        <v>45503.679999999993</v>
      </c>
      <c r="Y62" s="26">
        <f t="shared" si="79"/>
        <v>481187.95</v>
      </c>
      <c r="Z62" s="1">
        <f t="shared" si="79"/>
        <v>224</v>
      </c>
      <c r="AA62" s="1">
        <f t="shared" si="79"/>
        <v>366</v>
      </c>
      <c r="AB62" s="10">
        <v>2674000</v>
      </c>
      <c r="AC62" s="26">
        <f t="shared" ref="AC62:AH62" si="80">SUM(AC63:AC73)</f>
        <v>169703.42</v>
      </c>
      <c r="AD62" s="26">
        <f t="shared" si="80"/>
        <v>1970536.42</v>
      </c>
      <c r="AE62" s="1">
        <f t="shared" si="80"/>
        <v>527</v>
      </c>
      <c r="AF62" s="1">
        <f t="shared" si="80"/>
        <v>1185</v>
      </c>
      <c r="AG62" s="26">
        <f t="shared" si="80"/>
        <v>57779.47</v>
      </c>
      <c r="AH62" s="10">
        <f t="shared" si="80"/>
        <v>876861.88000000012</v>
      </c>
      <c r="AI62" s="1">
        <f t="shared" si="79"/>
        <v>266</v>
      </c>
      <c r="AJ62" s="1">
        <f t="shared" si="79"/>
        <v>406</v>
      </c>
      <c r="AK62" s="26">
        <f t="shared" si="79"/>
        <v>53783.12</v>
      </c>
      <c r="AL62" s="10">
        <f t="shared" si="79"/>
        <v>1036576.51</v>
      </c>
      <c r="AM62" s="1">
        <f t="shared" si="79"/>
        <v>230</v>
      </c>
      <c r="AN62" s="1">
        <f t="shared" si="79"/>
        <v>365</v>
      </c>
      <c r="AO62" s="26">
        <f t="shared" si="79"/>
        <v>58140.83</v>
      </c>
      <c r="AP62" s="10">
        <f t="shared" si="79"/>
        <v>57098.03</v>
      </c>
      <c r="AQ62" s="1">
        <f t="shared" si="79"/>
        <v>268</v>
      </c>
      <c r="AR62" s="1">
        <f t="shared" si="79"/>
        <v>414</v>
      </c>
      <c r="AS62" s="10">
        <v>2483900</v>
      </c>
      <c r="AT62" s="26">
        <f t="shared" ref="AT62:BZ62" si="81">SUM(AT63:AT73)</f>
        <v>150213.29999999999</v>
      </c>
      <c r="AU62" s="26">
        <f t="shared" si="81"/>
        <v>2438812.27</v>
      </c>
      <c r="AV62" s="1">
        <f t="shared" si="81"/>
        <v>488</v>
      </c>
      <c r="AW62" s="1">
        <f t="shared" si="81"/>
        <v>1166</v>
      </c>
      <c r="AX62" s="26">
        <f t="shared" si="81"/>
        <v>58820.38</v>
      </c>
      <c r="AY62" s="10">
        <f t="shared" si="81"/>
        <v>1391953.69</v>
      </c>
      <c r="AZ62" s="1">
        <f t="shared" si="81"/>
        <v>272</v>
      </c>
      <c r="BA62" s="1">
        <f t="shared" si="81"/>
        <v>437</v>
      </c>
      <c r="BB62" s="26">
        <f t="shared" si="81"/>
        <v>50911.55</v>
      </c>
      <c r="BC62" s="10">
        <f t="shared" si="81"/>
        <v>53323.79</v>
      </c>
      <c r="BD62" s="1">
        <f t="shared" si="81"/>
        <v>251</v>
      </c>
      <c r="BE62" s="1">
        <f>SUM(BE63:BE72)</f>
        <v>402</v>
      </c>
      <c r="BF62" s="26">
        <f t="shared" si="81"/>
        <v>40481.369999999995</v>
      </c>
      <c r="BG62" s="10">
        <f t="shared" si="81"/>
        <v>993534.79</v>
      </c>
      <c r="BH62" s="1">
        <f t="shared" si="81"/>
        <v>200</v>
      </c>
      <c r="BI62" s="1">
        <f t="shared" si="81"/>
        <v>327</v>
      </c>
      <c r="BJ62" s="10">
        <v>464300</v>
      </c>
      <c r="BK62" s="26">
        <f t="shared" si="81"/>
        <v>158946.47</v>
      </c>
      <c r="BL62" s="26">
        <f t="shared" si="81"/>
        <v>1220736.08</v>
      </c>
      <c r="BM62" s="1">
        <f>SUM(BM63:BM73)</f>
        <v>557</v>
      </c>
      <c r="BN62" s="1">
        <f>SUM(BN63:BN73)</f>
        <v>1256</v>
      </c>
      <c r="BO62" s="10">
        <f t="shared" si="81"/>
        <v>47995.07</v>
      </c>
      <c r="BP62" s="10">
        <f t="shared" si="81"/>
        <v>614267.65</v>
      </c>
      <c r="BQ62" s="2">
        <f t="shared" si="81"/>
        <v>257</v>
      </c>
      <c r="BR62" s="2">
        <f t="shared" si="81"/>
        <v>392</v>
      </c>
      <c r="BS62" s="10">
        <f t="shared" si="81"/>
        <v>52127.18</v>
      </c>
      <c r="BT62" s="10">
        <f t="shared" si="81"/>
        <v>188566.83000000002</v>
      </c>
      <c r="BU62" s="2">
        <f>SUM(BU63:BU73)</f>
        <v>281</v>
      </c>
      <c r="BV62" s="2">
        <f>SUM(BV63:BV73)</f>
        <v>452</v>
      </c>
      <c r="BW62" s="10">
        <f t="shared" si="81"/>
        <v>58824.22</v>
      </c>
      <c r="BX62" s="10">
        <f t="shared" si="81"/>
        <v>417901.60000000003</v>
      </c>
      <c r="BY62" s="2">
        <f t="shared" si="81"/>
        <v>246</v>
      </c>
      <c r="BZ62" s="2">
        <f t="shared" si="81"/>
        <v>412</v>
      </c>
      <c r="CA62" s="27"/>
    </row>
    <row r="63" spans="1:79" s="28" customFormat="1" ht="42" customHeight="1" x14ac:dyDescent="0.2">
      <c r="A63" s="47"/>
      <c r="B63" s="11" t="s">
        <v>54</v>
      </c>
      <c r="C63" s="9"/>
      <c r="D63" s="9"/>
      <c r="E63" s="9">
        <v>67000</v>
      </c>
      <c r="F63" s="30"/>
      <c r="G63" s="30">
        <f t="shared" ref="G63:H73" si="82">L63+AC63+AT63+BK63</f>
        <v>67000</v>
      </c>
      <c r="H63" s="30">
        <f t="shared" si="82"/>
        <v>67000</v>
      </c>
      <c r="I63" s="4">
        <v>196</v>
      </c>
      <c r="J63" s="4">
        <f>O63+AF63+AW63+BN63</f>
        <v>829</v>
      </c>
      <c r="K63" s="31"/>
      <c r="L63" s="32">
        <f t="shared" ref="L63:M73" si="83">P63+T63+X63</f>
        <v>16500</v>
      </c>
      <c r="M63" s="32">
        <f t="shared" si="83"/>
        <v>11000</v>
      </c>
      <c r="N63" s="4">
        <v>142</v>
      </c>
      <c r="O63" s="4">
        <f>S63+W63+AA63</f>
        <v>303</v>
      </c>
      <c r="P63" s="30">
        <v>5500</v>
      </c>
      <c r="Q63" s="30">
        <v>5500</v>
      </c>
      <c r="R63" s="4">
        <v>54</v>
      </c>
      <c r="S63" s="4">
        <v>116</v>
      </c>
      <c r="T63" s="30">
        <v>5500</v>
      </c>
      <c r="U63" s="30"/>
      <c r="V63" s="4">
        <v>54</v>
      </c>
      <c r="W63" s="4">
        <v>126</v>
      </c>
      <c r="X63" s="30">
        <v>5500</v>
      </c>
      <c r="Y63" s="30">
        <v>5500</v>
      </c>
      <c r="Z63" s="4">
        <v>57</v>
      </c>
      <c r="AA63" s="4">
        <v>61</v>
      </c>
      <c r="AB63" s="31"/>
      <c r="AC63" s="32">
        <f t="shared" ref="AC63:AD73" si="84">AG63+AK63+AO63</f>
        <v>16750</v>
      </c>
      <c r="AD63" s="32">
        <f t="shared" si="84"/>
        <v>16625</v>
      </c>
      <c r="AE63" s="4">
        <v>132</v>
      </c>
      <c r="AF63" s="4">
        <f>AJ63+AN63+AR63</f>
        <v>161</v>
      </c>
      <c r="AG63" s="30">
        <v>5500</v>
      </c>
      <c r="AH63" s="9"/>
      <c r="AI63" s="4">
        <v>56</v>
      </c>
      <c r="AJ63" s="4">
        <v>59</v>
      </c>
      <c r="AK63" s="30">
        <v>5625</v>
      </c>
      <c r="AL63" s="9">
        <v>11125</v>
      </c>
      <c r="AM63" s="4">
        <v>42</v>
      </c>
      <c r="AN63" s="4">
        <v>45</v>
      </c>
      <c r="AO63" s="30">
        <v>5625</v>
      </c>
      <c r="AP63" s="9">
        <v>5500</v>
      </c>
      <c r="AQ63" s="4">
        <v>56</v>
      </c>
      <c r="AR63" s="4">
        <v>57</v>
      </c>
      <c r="AS63" s="31"/>
      <c r="AT63" s="32">
        <f t="shared" ref="AT63:AU73" si="85">AX63+BB63+BF63</f>
        <v>16875</v>
      </c>
      <c r="AU63" s="32">
        <f t="shared" si="85"/>
        <v>16875</v>
      </c>
      <c r="AV63" s="4">
        <v>139</v>
      </c>
      <c r="AW63" s="4">
        <f t="shared" ref="AW63:AW73" si="86">BA63+BE63+BI63</f>
        <v>166</v>
      </c>
      <c r="AX63" s="30">
        <v>5625</v>
      </c>
      <c r="AY63" s="9">
        <v>5625</v>
      </c>
      <c r="AZ63" s="4">
        <v>66</v>
      </c>
      <c r="BA63" s="4">
        <v>69</v>
      </c>
      <c r="BB63" s="30">
        <v>5625</v>
      </c>
      <c r="BC63" s="9">
        <v>5625</v>
      </c>
      <c r="BD63" s="4">
        <v>70</v>
      </c>
      <c r="BE63" s="4">
        <v>73</v>
      </c>
      <c r="BF63" s="30">
        <v>5625</v>
      </c>
      <c r="BG63" s="9">
        <v>5625</v>
      </c>
      <c r="BH63" s="4">
        <v>24</v>
      </c>
      <c r="BI63" s="4">
        <v>24</v>
      </c>
      <c r="BJ63" s="31"/>
      <c r="BK63" s="32">
        <f t="shared" ref="BK63:BL73" si="87">BO63+BS63+BW63</f>
        <v>16875</v>
      </c>
      <c r="BL63" s="32">
        <f t="shared" si="87"/>
        <v>22500</v>
      </c>
      <c r="BM63" s="4">
        <v>157</v>
      </c>
      <c r="BN63" s="4">
        <f>BR63+BV63+BZ63</f>
        <v>199</v>
      </c>
      <c r="BO63" s="9">
        <v>5625</v>
      </c>
      <c r="BP63" s="9">
        <v>5625</v>
      </c>
      <c r="BQ63" s="5">
        <v>62</v>
      </c>
      <c r="BR63" s="5">
        <v>66</v>
      </c>
      <c r="BS63" s="9">
        <v>5625</v>
      </c>
      <c r="BT63" s="9">
        <v>11250</v>
      </c>
      <c r="BU63" s="5">
        <v>65</v>
      </c>
      <c r="BV63" s="5">
        <v>76</v>
      </c>
      <c r="BW63" s="9">
        <v>5625</v>
      </c>
      <c r="BX63" s="9">
        <v>5625</v>
      </c>
      <c r="BY63" s="5">
        <v>51</v>
      </c>
      <c r="BZ63" s="5">
        <v>57</v>
      </c>
      <c r="CA63" s="27"/>
    </row>
    <row r="64" spans="1:79" s="28" customFormat="1" ht="45.75" customHeight="1" x14ac:dyDescent="0.2">
      <c r="A64" s="47"/>
      <c r="B64" s="11" t="s">
        <v>55</v>
      </c>
      <c r="C64" s="9"/>
      <c r="D64" s="9"/>
      <c r="E64" s="9">
        <v>390100</v>
      </c>
      <c r="F64" s="30"/>
      <c r="G64" s="30">
        <f t="shared" si="82"/>
        <v>390009.78</v>
      </c>
      <c r="H64" s="30">
        <f t="shared" si="82"/>
        <v>390009.78</v>
      </c>
      <c r="I64" s="4">
        <v>551</v>
      </c>
      <c r="J64" s="4">
        <f>O64+AF64+AW64+BN64</f>
        <v>925</v>
      </c>
      <c r="K64" s="31"/>
      <c r="L64" s="32">
        <f t="shared" si="83"/>
        <v>84001.26</v>
      </c>
      <c r="M64" s="32">
        <f t="shared" si="83"/>
        <v>84001.260000000009</v>
      </c>
      <c r="N64" s="4">
        <v>168</v>
      </c>
      <c r="O64" s="4">
        <f>S64+W64+AA64</f>
        <v>203</v>
      </c>
      <c r="P64" s="30">
        <v>31410.65</v>
      </c>
      <c r="Q64" s="30">
        <v>11588.65</v>
      </c>
      <c r="R64" s="4">
        <v>76</v>
      </c>
      <c r="S64" s="4">
        <v>77</v>
      </c>
      <c r="T64" s="30">
        <v>29253.599999999999</v>
      </c>
      <c r="U64" s="30">
        <v>19822</v>
      </c>
      <c r="V64" s="4">
        <v>68</v>
      </c>
      <c r="W64" s="4">
        <v>69</v>
      </c>
      <c r="X64" s="30">
        <v>23337.01</v>
      </c>
      <c r="Y64" s="30">
        <v>52590.61</v>
      </c>
      <c r="Z64" s="4">
        <v>56</v>
      </c>
      <c r="AA64" s="4">
        <v>57</v>
      </c>
      <c r="AB64" s="31"/>
      <c r="AC64" s="32">
        <f t="shared" si="84"/>
        <v>109864.75000000001</v>
      </c>
      <c r="AD64" s="32">
        <f t="shared" si="84"/>
        <v>83746.75</v>
      </c>
      <c r="AE64" s="4">
        <v>213</v>
      </c>
      <c r="AF64" s="4">
        <f>AJ64+AN64+AR64</f>
        <v>257</v>
      </c>
      <c r="AG64" s="30">
        <v>35612.800000000003</v>
      </c>
      <c r="AH64" s="9"/>
      <c r="AI64" s="4">
        <v>85</v>
      </c>
      <c r="AJ64" s="4">
        <v>88</v>
      </c>
      <c r="AK64" s="30">
        <v>34947.120000000003</v>
      </c>
      <c r="AL64" s="9">
        <v>70559.92</v>
      </c>
      <c r="AM64" s="4">
        <v>77</v>
      </c>
      <c r="AN64" s="4">
        <v>78</v>
      </c>
      <c r="AO64" s="30">
        <v>39304.83</v>
      </c>
      <c r="AP64" s="9">
        <v>13186.83</v>
      </c>
      <c r="AQ64" s="4">
        <v>89</v>
      </c>
      <c r="AR64" s="4">
        <v>91</v>
      </c>
      <c r="AS64" s="31"/>
      <c r="AT64" s="32">
        <f t="shared" si="85"/>
        <v>93705.299999999988</v>
      </c>
      <c r="AU64" s="32">
        <f t="shared" si="85"/>
        <v>98177.930000000008</v>
      </c>
      <c r="AV64" s="4">
        <v>180</v>
      </c>
      <c r="AW64" s="4">
        <f t="shared" si="86"/>
        <v>227</v>
      </c>
      <c r="AX64" s="30">
        <v>39984.379999999997</v>
      </c>
      <c r="AY64" s="9">
        <v>66102.38</v>
      </c>
      <c r="AZ64" s="4">
        <v>89</v>
      </c>
      <c r="BA64" s="4">
        <v>93</v>
      </c>
      <c r="BB64" s="30">
        <v>32075.55</v>
      </c>
      <c r="BC64" s="9"/>
      <c r="BD64" s="4">
        <v>74</v>
      </c>
      <c r="BE64" s="4">
        <v>79</v>
      </c>
      <c r="BF64" s="30">
        <v>21645.37</v>
      </c>
      <c r="BG64" s="9">
        <v>32075.55</v>
      </c>
      <c r="BH64" s="4">
        <v>53</v>
      </c>
      <c r="BI64" s="4">
        <v>55</v>
      </c>
      <c r="BJ64" s="31"/>
      <c r="BK64" s="32">
        <f t="shared" si="87"/>
        <v>102438.47</v>
      </c>
      <c r="BL64" s="32">
        <f t="shared" si="87"/>
        <v>124083.84</v>
      </c>
      <c r="BM64" s="4">
        <v>202</v>
      </c>
      <c r="BN64" s="4">
        <f>BR64+BV64+BZ64</f>
        <v>238</v>
      </c>
      <c r="BO64" s="9">
        <v>29159.07</v>
      </c>
      <c r="BP64" s="9">
        <v>21645.37</v>
      </c>
      <c r="BQ64" s="5">
        <v>69</v>
      </c>
      <c r="BR64" s="5">
        <v>71</v>
      </c>
      <c r="BS64" s="9">
        <v>33291.18</v>
      </c>
      <c r="BT64" s="9">
        <v>29159.07</v>
      </c>
      <c r="BU64" s="5">
        <v>80</v>
      </c>
      <c r="BV64" s="5">
        <v>81</v>
      </c>
      <c r="BW64" s="9">
        <v>39988.22</v>
      </c>
      <c r="BX64" s="9">
        <v>73279.399999999994</v>
      </c>
      <c r="BY64" s="5">
        <v>81</v>
      </c>
      <c r="BZ64" s="5">
        <v>86</v>
      </c>
      <c r="CA64" s="27"/>
    </row>
    <row r="65" spans="1:79" s="28" customFormat="1" ht="42" customHeight="1" x14ac:dyDescent="0.2">
      <c r="A65" s="47"/>
      <c r="B65" s="11" t="s">
        <v>56</v>
      </c>
      <c r="C65" s="9"/>
      <c r="D65" s="9"/>
      <c r="E65" s="9">
        <v>172400</v>
      </c>
      <c r="F65" s="30"/>
      <c r="G65" s="30">
        <f t="shared" si="82"/>
        <v>172321.34999999998</v>
      </c>
      <c r="H65" s="30">
        <f t="shared" si="82"/>
        <v>172321.34999999998</v>
      </c>
      <c r="I65" s="4">
        <v>252</v>
      </c>
      <c r="J65" s="4">
        <f>O65+AF65+AW65+BN65</f>
        <v>3495</v>
      </c>
      <c r="K65" s="31"/>
      <c r="L65" s="32">
        <f t="shared" si="83"/>
        <v>49966.679999999993</v>
      </c>
      <c r="M65" s="32">
        <f t="shared" si="83"/>
        <v>33300.009999999995</v>
      </c>
      <c r="N65" s="4">
        <v>170</v>
      </c>
      <c r="O65" s="4">
        <f>S65+W65+AA65</f>
        <v>1136</v>
      </c>
      <c r="P65" s="30">
        <v>16666.669999999998</v>
      </c>
      <c r="Q65" s="30"/>
      <c r="R65" s="4">
        <v>125</v>
      </c>
      <c r="S65" s="4">
        <v>487</v>
      </c>
      <c r="T65" s="30">
        <v>16633.34</v>
      </c>
      <c r="U65" s="30">
        <v>16666.669999999998</v>
      </c>
      <c r="V65" s="4">
        <v>94</v>
      </c>
      <c r="W65" s="4">
        <v>401</v>
      </c>
      <c r="X65" s="30">
        <v>16666.669999999998</v>
      </c>
      <c r="Y65" s="30">
        <v>16633.34</v>
      </c>
      <c r="Z65" s="4">
        <v>111</v>
      </c>
      <c r="AA65" s="4">
        <v>248</v>
      </c>
      <c r="AB65" s="31"/>
      <c r="AC65" s="32">
        <f t="shared" si="84"/>
        <v>43088.67</v>
      </c>
      <c r="AD65" s="32">
        <f t="shared" si="84"/>
        <v>46544.34</v>
      </c>
      <c r="AE65" s="4">
        <v>182</v>
      </c>
      <c r="AF65" s="4">
        <f>AJ65+AN65+AR65</f>
        <v>767</v>
      </c>
      <c r="AG65" s="30">
        <v>16666.669999999998</v>
      </c>
      <c r="AH65" s="9">
        <v>16666.669999999998</v>
      </c>
      <c r="AI65" s="4">
        <v>125</v>
      </c>
      <c r="AJ65" s="4">
        <v>259</v>
      </c>
      <c r="AK65" s="30">
        <v>13211</v>
      </c>
      <c r="AL65" s="9">
        <v>16666.669999999998</v>
      </c>
      <c r="AM65" s="4">
        <v>111</v>
      </c>
      <c r="AN65" s="4">
        <v>242</v>
      </c>
      <c r="AO65" s="30">
        <v>13211</v>
      </c>
      <c r="AP65" s="9">
        <v>13211</v>
      </c>
      <c r="AQ65" s="4">
        <v>123</v>
      </c>
      <c r="AR65" s="4">
        <v>266</v>
      </c>
      <c r="AS65" s="31"/>
      <c r="AT65" s="32">
        <f t="shared" si="85"/>
        <v>39633</v>
      </c>
      <c r="AU65" s="32">
        <f t="shared" si="85"/>
        <v>39633</v>
      </c>
      <c r="AV65" s="4">
        <v>169</v>
      </c>
      <c r="AW65" s="4">
        <f t="shared" si="86"/>
        <v>773</v>
      </c>
      <c r="AX65" s="30">
        <v>13211</v>
      </c>
      <c r="AY65" s="9">
        <v>13211</v>
      </c>
      <c r="AZ65" s="4">
        <v>117</v>
      </c>
      <c r="BA65" s="4">
        <v>275</v>
      </c>
      <c r="BB65" s="30">
        <v>13211</v>
      </c>
      <c r="BC65" s="9">
        <v>13211</v>
      </c>
      <c r="BD65" s="4">
        <v>107</v>
      </c>
      <c r="BE65" s="4">
        <v>250</v>
      </c>
      <c r="BF65" s="30">
        <v>13211</v>
      </c>
      <c r="BG65" s="9">
        <v>13211</v>
      </c>
      <c r="BH65" s="4">
        <v>123</v>
      </c>
      <c r="BI65" s="4">
        <v>248</v>
      </c>
      <c r="BJ65" s="31"/>
      <c r="BK65" s="32">
        <f t="shared" si="87"/>
        <v>39633</v>
      </c>
      <c r="BL65" s="32">
        <f t="shared" si="87"/>
        <v>52844</v>
      </c>
      <c r="BM65" s="4">
        <v>198</v>
      </c>
      <c r="BN65" s="4">
        <f>BR65+BV65+BZ65</f>
        <v>819</v>
      </c>
      <c r="BO65" s="9">
        <v>13211</v>
      </c>
      <c r="BP65" s="9">
        <v>13211</v>
      </c>
      <c r="BQ65" s="5">
        <v>126</v>
      </c>
      <c r="BR65" s="5">
        <v>255</v>
      </c>
      <c r="BS65" s="9">
        <v>13211</v>
      </c>
      <c r="BT65" s="9">
        <v>26422</v>
      </c>
      <c r="BU65" s="5">
        <v>136</v>
      </c>
      <c r="BV65" s="5">
        <v>295</v>
      </c>
      <c r="BW65" s="9">
        <v>13211</v>
      </c>
      <c r="BX65" s="9">
        <v>13211</v>
      </c>
      <c r="BY65" s="5">
        <v>114</v>
      </c>
      <c r="BZ65" s="5">
        <v>269</v>
      </c>
      <c r="CA65" s="27"/>
    </row>
    <row r="66" spans="1:79" s="28" customFormat="1" ht="54" hidden="1" customHeight="1" x14ac:dyDescent="0.2">
      <c r="A66" s="47"/>
      <c r="B66" s="34" t="s">
        <v>124</v>
      </c>
      <c r="C66" s="9"/>
      <c r="D66" s="9"/>
      <c r="E66" s="9">
        <v>5414800</v>
      </c>
      <c r="F66" s="30"/>
      <c r="G66" s="30">
        <f t="shared" si="82"/>
        <v>0</v>
      </c>
      <c r="H66" s="30">
        <f t="shared" si="82"/>
        <v>5413316.3799999999</v>
      </c>
      <c r="I66" s="4"/>
      <c r="J66" s="4"/>
      <c r="K66" s="31"/>
      <c r="L66" s="32">
        <f t="shared" si="83"/>
        <v>0</v>
      </c>
      <c r="M66" s="32">
        <f t="shared" si="83"/>
        <v>2004368.4</v>
      </c>
      <c r="N66" s="4"/>
      <c r="O66" s="4"/>
      <c r="P66" s="30"/>
      <c r="Q66" s="30">
        <f>14675.2+281529.6+278739.6</f>
        <v>574944.39999999991</v>
      </c>
      <c r="R66" s="4"/>
      <c r="S66" s="4"/>
      <c r="T66" s="30"/>
      <c r="U66" s="30">
        <f>480517.82+480007.93+80434.25</f>
        <v>1040960</v>
      </c>
      <c r="V66" s="4"/>
      <c r="W66" s="4"/>
      <c r="X66" s="30"/>
      <c r="Y66" s="30">
        <f>33248.5+301265.9+53949.6</f>
        <v>388464</v>
      </c>
      <c r="Z66" s="4"/>
      <c r="AA66" s="4"/>
      <c r="AB66" s="31"/>
      <c r="AC66" s="32">
        <f t="shared" si="84"/>
        <v>0</v>
      </c>
      <c r="AD66" s="32">
        <f t="shared" si="84"/>
        <v>845786.72</v>
      </c>
      <c r="AE66" s="4"/>
      <c r="AF66" s="4"/>
      <c r="AG66" s="30"/>
      <c r="AH66" s="9">
        <f>104331.5+53053.2+34660.49+245664.85+93843.2</f>
        <v>531553.24</v>
      </c>
      <c r="AI66" s="4"/>
      <c r="AJ66" s="4"/>
      <c r="AK66" s="30"/>
      <c r="AL66" s="9">
        <f>175955.99+52669.49+85608</f>
        <v>314233.48</v>
      </c>
      <c r="AM66" s="4"/>
      <c r="AN66" s="4"/>
      <c r="AO66" s="30"/>
      <c r="AP66" s="9"/>
      <c r="AQ66" s="4"/>
      <c r="AR66" s="4"/>
      <c r="AS66" s="31"/>
      <c r="AT66" s="32">
        <f t="shared" si="85"/>
        <v>0</v>
      </c>
      <c r="AU66" s="32">
        <f t="shared" si="85"/>
        <v>1713795.98</v>
      </c>
      <c r="AV66" s="4"/>
      <c r="AW66" s="4">
        <f t="shared" si="86"/>
        <v>0</v>
      </c>
      <c r="AX66" s="30"/>
      <c r="AY66" s="9">
        <f>668632.74+120540</f>
        <v>789172.74</v>
      </c>
      <c r="AZ66" s="4"/>
      <c r="BA66" s="4"/>
      <c r="BB66" s="30"/>
      <c r="BC66" s="9"/>
      <c r="BD66" s="4"/>
      <c r="BE66" s="4"/>
      <c r="BF66" s="30"/>
      <c r="BG66" s="9">
        <f>372674.77+160739.3+286690.95+104518.22</f>
        <v>924623.24</v>
      </c>
      <c r="BH66" s="4"/>
      <c r="BI66" s="4"/>
      <c r="BJ66" s="31"/>
      <c r="BK66" s="32">
        <f t="shared" si="87"/>
        <v>0</v>
      </c>
      <c r="BL66" s="32">
        <f t="shared" si="87"/>
        <v>849365.28</v>
      </c>
      <c r="BM66" s="4"/>
      <c r="BN66" s="4"/>
      <c r="BO66" s="9"/>
      <c r="BP66" s="9">
        <f>555786.28</f>
        <v>555786.28</v>
      </c>
      <c r="BQ66" s="5"/>
      <c r="BR66" s="5"/>
      <c r="BS66" s="9"/>
      <c r="BT66" s="9"/>
      <c r="BU66" s="5"/>
      <c r="BV66" s="5"/>
      <c r="BW66" s="9"/>
      <c r="BX66" s="9">
        <f>293579</f>
        <v>293579</v>
      </c>
      <c r="BY66" s="5"/>
      <c r="BZ66" s="5"/>
      <c r="CA66" s="27"/>
    </row>
    <row r="67" spans="1:79" s="28" customFormat="1" ht="55.5" hidden="1" customHeight="1" x14ac:dyDescent="0.2">
      <c r="A67" s="47"/>
      <c r="B67" s="34" t="s">
        <v>125</v>
      </c>
      <c r="C67" s="9"/>
      <c r="D67" s="9"/>
      <c r="E67" s="9">
        <v>484200</v>
      </c>
      <c r="F67" s="30"/>
      <c r="G67" s="30">
        <f t="shared" si="82"/>
        <v>0</v>
      </c>
      <c r="H67" s="30">
        <f t="shared" si="82"/>
        <v>484180.18</v>
      </c>
      <c r="I67" s="4"/>
      <c r="J67" s="4"/>
      <c r="K67" s="31"/>
      <c r="L67" s="32">
        <f t="shared" si="83"/>
        <v>0</v>
      </c>
      <c r="M67" s="32">
        <f t="shared" si="83"/>
        <v>101845.88</v>
      </c>
      <c r="N67" s="4"/>
      <c r="O67" s="4"/>
      <c r="P67" s="30"/>
      <c r="Q67" s="30"/>
      <c r="R67" s="4"/>
      <c r="S67" s="4"/>
      <c r="T67" s="30"/>
      <c r="U67" s="30">
        <f>90739.56+11106.32</f>
        <v>101845.88</v>
      </c>
      <c r="V67" s="4"/>
      <c r="W67" s="4"/>
      <c r="X67" s="30"/>
      <c r="Y67" s="30"/>
      <c r="Z67" s="4"/>
      <c r="AA67" s="4"/>
      <c r="AB67" s="31"/>
      <c r="AC67" s="32">
        <f t="shared" si="84"/>
        <v>0</v>
      </c>
      <c r="AD67" s="32">
        <f t="shared" si="84"/>
        <v>382334.3</v>
      </c>
      <c r="AE67" s="4"/>
      <c r="AF67" s="4"/>
      <c r="AG67" s="30"/>
      <c r="AH67" s="9">
        <f>18003.88</f>
        <v>18003.88</v>
      </c>
      <c r="AI67" s="4"/>
      <c r="AJ67" s="4"/>
      <c r="AK67" s="30"/>
      <c r="AL67" s="9">
        <f>327910.69+36179.68+240.05</f>
        <v>364330.42</v>
      </c>
      <c r="AM67" s="4"/>
      <c r="AN67" s="4"/>
      <c r="AO67" s="30"/>
      <c r="AP67" s="9"/>
      <c r="AQ67" s="4"/>
      <c r="AR67" s="4"/>
      <c r="AS67" s="31"/>
      <c r="AT67" s="32">
        <f t="shared" si="85"/>
        <v>0</v>
      </c>
      <c r="AU67" s="32">
        <f t="shared" si="85"/>
        <v>0</v>
      </c>
      <c r="AV67" s="4"/>
      <c r="AW67" s="4">
        <f t="shared" si="86"/>
        <v>0</v>
      </c>
      <c r="AX67" s="30"/>
      <c r="AY67" s="9"/>
      <c r="AZ67" s="4"/>
      <c r="BA67" s="4"/>
      <c r="BB67" s="30"/>
      <c r="BC67" s="9"/>
      <c r="BD67" s="4"/>
      <c r="BE67" s="4"/>
      <c r="BF67" s="30"/>
      <c r="BG67" s="9"/>
      <c r="BH67" s="4"/>
      <c r="BI67" s="4"/>
      <c r="BJ67" s="31"/>
      <c r="BK67" s="32">
        <f t="shared" si="87"/>
        <v>0</v>
      </c>
      <c r="BL67" s="32">
        <f t="shared" si="87"/>
        <v>0</v>
      </c>
      <c r="BM67" s="4"/>
      <c r="BN67" s="4"/>
      <c r="BO67" s="9"/>
      <c r="BP67" s="9"/>
      <c r="BQ67" s="5"/>
      <c r="BR67" s="5"/>
      <c r="BS67" s="9"/>
      <c r="BT67" s="9"/>
      <c r="BU67" s="5"/>
      <c r="BV67" s="5"/>
      <c r="BW67" s="9"/>
      <c r="BX67" s="9"/>
      <c r="BY67" s="5"/>
      <c r="BZ67" s="5"/>
      <c r="CA67" s="27"/>
    </row>
    <row r="68" spans="1:79" s="28" customFormat="1" ht="55.5" hidden="1" customHeight="1" x14ac:dyDescent="0.2">
      <c r="A68" s="47"/>
      <c r="B68" s="34" t="s">
        <v>126</v>
      </c>
      <c r="C68" s="9"/>
      <c r="D68" s="9"/>
      <c r="E68" s="9">
        <v>41100</v>
      </c>
      <c r="F68" s="30"/>
      <c r="G68" s="30">
        <f t="shared" si="82"/>
        <v>0</v>
      </c>
      <c r="H68" s="30">
        <f t="shared" si="82"/>
        <v>41082.740000000005</v>
      </c>
      <c r="I68" s="4"/>
      <c r="J68" s="4"/>
      <c r="K68" s="31"/>
      <c r="L68" s="32">
        <f t="shared" si="83"/>
        <v>0</v>
      </c>
      <c r="M68" s="32">
        <f t="shared" si="83"/>
        <v>13421.01</v>
      </c>
      <c r="N68" s="4"/>
      <c r="O68" s="4"/>
      <c r="P68" s="30"/>
      <c r="Q68" s="30"/>
      <c r="R68" s="4"/>
      <c r="S68" s="4"/>
      <c r="T68" s="30"/>
      <c r="U68" s="30">
        <f>13421.01</f>
        <v>13421.01</v>
      </c>
      <c r="V68" s="4"/>
      <c r="W68" s="4"/>
      <c r="X68" s="30"/>
      <c r="Y68" s="30"/>
      <c r="Z68" s="4"/>
      <c r="AA68" s="4"/>
      <c r="AB68" s="31"/>
      <c r="AC68" s="32">
        <f t="shared" si="84"/>
        <v>0</v>
      </c>
      <c r="AD68" s="32">
        <f t="shared" si="84"/>
        <v>13454.53</v>
      </c>
      <c r="AE68" s="4"/>
      <c r="AF68" s="4"/>
      <c r="AG68" s="30"/>
      <c r="AH68" s="9">
        <f>13454.53</f>
        <v>13454.53</v>
      </c>
      <c r="AI68" s="4"/>
      <c r="AJ68" s="4"/>
      <c r="AK68" s="30"/>
      <c r="AL68" s="9"/>
      <c r="AM68" s="4"/>
      <c r="AN68" s="4"/>
      <c r="AO68" s="30"/>
      <c r="AP68" s="9"/>
      <c r="AQ68" s="4"/>
      <c r="AR68" s="4"/>
      <c r="AS68" s="31"/>
      <c r="AT68" s="32">
        <f t="shared" si="85"/>
        <v>0</v>
      </c>
      <c r="AU68" s="32">
        <f t="shared" si="85"/>
        <v>0</v>
      </c>
      <c r="AV68" s="4"/>
      <c r="AW68" s="4">
        <f t="shared" si="86"/>
        <v>0</v>
      </c>
      <c r="AX68" s="30"/>
      <c r="AY68" s="9"/>
      <c r="AZ68" s="4"/>
      <c r="BA68" s="4"/>
      <c r="BB68" s="30"/>
      <c r="BC68" s="9"/>
      <c r="BD68" s="4"/>
      <c r="BE68" s="4"/>
      <c r="BF68" s="30"/>
      <c r="BG68" s="9"/>
      <c r="BH68" s="4"/>
      <c r="BI68" s="4"/>
      <c r="BJ68" s="31"/>
      <c r="BK68" s="32">
        <f t="shared" si="87"/>
        <v>0</v>
      </c>
      <c r="BL68" s="32">
        <f t="shared" si="87"/>
        <v>14207.2</v>
      </c>
      <c r="BM68" s="4"/>
      <c r="BN68" s="4"/>
      <c r="BO68" s="9"/>
      <c r="BP68" s="9"/>
      <c r="BQ68" s="5"/>
      <c r="BR68" s="5"/>
      <c r="BS68" s="9"/>
      <c r="BT68" s="9"/>
      <c r="BU68" s="5"/>
      <c r="BV68" s="5"/>
      <c r="BW68" s="9"/>
      <c r="BX68" s="9">
        <f>14207.2</f>
        <v>14207.2</v>
      </c>
      <c r="BY68" s="5"/>
      <c r="BZ68" s="5"/>
      <c r="CA68" s="27"/>
    </row>
    <row r="69" spans="1:79" s="28" customFormat="1" ht="55.5" hidden="1" customHeight="1" x14ac:dyDescent="0.2">
      <c r="A69" s="47"/>
      <c r="B69" s="34" t="s">
        <v>127</v>
      </c>
      <c r="C69" s="9"/>
      <c r="D69" s="9"/>
      <c r="E69" s="9">
        <v>35700</v>
      </c>
      <c r="F69" s="30"/>
      <c r="G69" s="30">
        <f t="shared" si="82"/>
        <v>0</v>
      </c>
      <c r="H69" s="30">
        <f t="shared" si="82"/>
        <v>35687.740000000005</v>
      </c>
      <c r="I69" s="4"/>
      <c r="J69" s="4"/>
      <c r="K69" s="31"/>
      <c r="L69" s="32">
        <f t="shared" si="83"/>
        <v>0</v>
      </c>
      <c r="M69" s="32">
        <f t="shared" si="83"/>
        <v>11999.75</v>
      </c>
      <c r="N69" s="4"/>
      <c r="O69" s="4"/>
      <c r="P69" s="30"/>
      <c r="Q69" s="30">
        <f>11999.75</f>
        <v>11999.75</v>
      </c>
      <c r="R69" s="4"/>
      <c r="S69" s="4"/>
      <c r="T69" s="30"/>
      <c r="U69" s="30"/>
      <c r="V69" s="4"/>
      <c r="W69" s="4"/>
      <c r="X69" s="30"/>
      <c r="Y69" s="30"/>
      <c r="Z69" s="4"/>
      <c r="AA69" s="4"/>
      <c r="AB69" s="31"/>
      <c r="AC69" s="32">
        <f t="shared" si="84"/>
        <v>0</v>
      </c>
      <c r="AD69" s="32">
        <f t="shared" si="84"/>
        <v>7200.2</v>
      </c>
      <c r="AE69" s="4"/>
      <c r="AF69" s="4"/>
      <c r="AG69" s="30"/>
      <c r="AH69" s="9"/>
      <c r="AI69" s="4"/>
      <c r="AJ69" s="4"/>
      <c r="AK69" s="30"/>
      <c r="AL69" s="9"/>
      <c r="AM69" s="4"/>
      <c r="AN69" s="4"/>
      <c r="AO69" s="30"/>
      <c r="AP69" s="9">
        <v>7200.2</v>
      </c>
      <c r="AQ69" s="4"/>
      <c r="AR69" s="4"/>
      <c r="AS69" s="31"/>
      <c r="AT69" s="32">
        <f t="shared" si="85"/>
        <v>0</v>
      </c>
      <c r="AU69" s="32">
        <f t="shared" si="85"/>
        <v>16487.79</v>
      </c>
      <c r="AV69" s="4"/>
      <c r="AW69" s="4">
        <f t="shared" si="86"/>
        <v>0</v>
      </c>
      <c r="AX69" s="30"/>
      <c r="AY69" s="9"/>
      <c r="AZ69" s="4"/>
      <c r="BA69" s="4"/>
      <c r="BB69" s="30"/>
      <c r="BC69" s="9">
        <v>16487.79</v>
      </c>
      <c r="BD69" s="4"/>
      <c r="BE69" s="4"/>
      <c r="BF69" s="30"/>
      <c r="BG69" s="9"/>
      <c r="BH69" s="4"/>
      <c r="BI69" s="4"/>
      <c r="BJ69" s="31"/>
      <c r="BK69" s="32">
        <f t="shared" si="87"/>
        <v>0</v>
      </c>
      <c r="BL69" s="32">
        <f t="shared" si="87"/>
        <v>0</v>
      </c>
      <c r="BM69" s="4"/>
      <c r="BN69" s="4"/>
      <c r="BO69" s="9"/>
      <c r="BP69" s="9"/>
      <c r="BQ69" s="5"/>
      <c r="BR69" s="5"/>
      <c r="BS69" s="9"/>
      <c r="BT69" s="9"/>
      <c r="BU69" s="5"/>
      <c r="BV69" s="5"/>
      <c r="BW69" s="9"/>
      <c r="BX69" s="9"/>
      <c r="BY69" s="5"/>
      <c r="BZ69" s="5"/>
      <c r="CA69" s="27"/>
    </row>
    <row r="70" spans="1:79" s="28" customFormat="1" ht="55.5" hidden="1" customHeight="1" x14ac:dyDescent="0.2">
      <c r="A70" s="47"/>
      <c r="B70" s="34" t="s">
        <v>128</v>
      </c>
      <c r="C70" s="9"/>
      <c r="D70" s="9"/>
      <c r="E70" s="9">
        <v>404700</v>
      </c>
      <c r="F70" s="30"/>
      <c r="G70" s="30">
        <f t="shared" si="82"/>
        <v>0</v>
      </c>
      <c r="H70" s="30">
        <f t="shared" si="82"/>
        <v>404648.64</v>
      </c>
      <c r="I70" s="4"/>
      <c r="J70" s="4"/>
      <c r="K70" s="31"/>
      <c r="L70" s="32">
        <f t="shared" si="83"/>
        <v>0</v>
      </c>
      <c r="M70" s="32">
        <f t="shared" si="83"/>
        <v>102943.88</v>
      </c>
      <c r="N70" s="4"/>
      <c r="O70" s="4"/>
      <c r="P70" s="30"/>
      <c r="Q70" s="30"/>
      <c r="R70" s="4"/>
      <c r="S70" s="4"/>
      <c r="T70" s="30"/>
      <c r="U70" s="30">
        <f>102943.88</f>
        <v>102943.88</v>
      </c>
      <c r="V70" s="4"/>
      <c r="W70" s="4"/>
      <c r="X70" s="30"/>
      <c r="Y70" s="30"/>
      <c r="Z70" s="4"/>
      <c r="AA70" s="4"/>
      <c r="AB70" s="31"/>
      <c r="AC70" s="32">
        <f t="shared" si="84"/>
        <v>0</v>
      </c>
      <c r="AD70" s="32">
        <f t="shared" si="84"/>
        <v>197969</v>
      </c>
      <c r="AE70" s="4"/>
      <c r="AF70" s="4"/>
      <c r="AG70" s="30"/>
      <c r="AH70" s="9">
        <f>197969</f>
        <v>197969</v>
      </c>
      <c r="AI70" s="4"/>
      <c r="AJ70" s="4"/>
      <c r="AK70" s="30"/>
      <c r="AL70" s="9"/>
      <c r="AM70" s="4"/>
      <c r="AN70" s="4"/>
      <c r="AO70" s="30"/>
      <c r="AP70" s="9"/>
      <c r="AQ70" s="4"/>
      <c r="AR70" s="4"/>
      <c r="AS70" s="31"/>
      <c r="AT70" s="32">
        <f t="shared" si="85"/>
        <v>0</v>
      </c>
      <c r="AU70" s="32">
        <f t="shared" si="85"/>
        <v>0</v>
      </c>
      <c r="AV70" s="4"/>
      <c r="AW70" s="4">
        <f t="shared" si="86"/>
        <v>0</v>
      </c>
      <c r="AX70" s="30"/>
      <c r="AY70" s="9"/>
      <c r="AZ70" s="4"/>
      <c r="BA70" s="4"/>
      <c r="BB70" s="30"/>
      <c r="BC70" s="9"/>
      <c r="BD70" s="4"/>
      <c r="BE70" s="4"/>
      <c r="BF70" s="30"/>
      <c r="BG70" s="9"/>
      <c r="BH70" s="4"/>
      <c r="BI70" s="4"/>
      <c r="BJ70" s="31"/>
      <c r="BK70" s="32">
        <f t="shared" si="87"/>
        <v>0</v>
      </c>
      <c r="BL70" s="32">
        <f t="shared" si="87"/>
        <v>103735.76</v>
      </c>
      <c r="BM70" s="4"/>
      <c r="BN70" s="4"/>
      <c r="BO70" s="9"/>
      <c r="BP70" s="9"/>
      <c r="BQ70" s="5"/>
      <c r="BR70" s="5"/>
      <c r="BS70" s="9"/>
      <c r="BT70" s="9">
        <f>103735.76</f>
        <v>103735.76</v>
      </c>
      <c r="BU70" s="5"/>
      <c r="BV70" s="5"/>
      <c r="BW70" s="9"/>
      <c r="BX70" s="9"/>
      <c r="BY70" s="5"/>
      <c r="BZ70" s="5"/>
      <c r="CA70" s="27"/>
    </row>
    <row r="71" spans="1:79" s="28" customFormat="1" ht="55.5" hidden="1" customHeight="1" x14ac:dyDescent="0.2">
      <c r="A71" s="29"/>
      <c r="B71" s="34" t="s">
        <v>129</v>
      </c>
      <c r="C71" s="9"/>
      <c r="D71" s="9"/>
      <c r="E71" s="9">
        <v>1037100</v>
      </c>
      <c r="F71" s="30"/>
      <c r="G71" s="30">
        <f t="shared" si="82"/>
        <v>0</v>
      </c>
      <c r="H71" s="30">
        <f t="shared" si="82"/>
        <v>1118220.0900000001</v>
      </c>
      <c r="I71" s="4"/>
      <c r="J71" s="4"/>
      <c r="K71" s="31"/>
      <c r="L71" s="32">
        <f t="shared" si="83"/>
        <v>0</v>
      </c>
      <c r="M71" s="32">
        <f t="shared" si="83"/>
        <v>487258.54000000004</v>
      </c>
      <c r="N71" s="4"/>
      <c r="O71" s="4"/>
      <c r="P71" s="30"/>
      <c r="Q71" s="30">
        <f>81214.56+24572.19+133307</f>
        <v>239093.75</v>
      </c>
      <c r="R71" s="4"/>
      <c r="S71" s="4"/>
      <c r="T71" s="30"/>
      <c r="U71" s="30">
        <f>46594.81+201569.98</f>
        <v>248164.79</v>
      </c>
      <c r="V71" s="4"/>
      <c r="W71" s="4"/>
      <c r="X71" s="30"/>
      <c r="Y71" s="30"/>
      <c r="Z71" s="4"/>
      <c r="AA71" s="4"/>
      <c r="AB71" s="31"/>
      <c r="AC71" s="32">
        <f t="shared" si="84"/>
        <v>0</v>
      </c>
      <c r="AD71" s="32">
        <f t="shared" si="84"/>
        <v>241661.02</v>
      </c>
      <c r="AE71" s="4"/>
      <c r="AF71" s="4"/>
      <c r="AG71" s="30"/>
      <c r="AH71" s="9"/>
      <c r="AI71" s="4"/>
      <c r="AJ71" s="4"/>
      <c r="AK71" s="30"/>
      <c r="AL71" s="9">
        <f>241661.02</f>
        <v>241661.02</v>
      </c>
      <c r="AM71" s="4"/>
      <c r="AN71" s="4"/>
      <c r="AO71" s="30"/>
      <c r="AP71" s="9"/>
      <c r="AQ71" s="4"/>
      <c r="AR71" s="4"/>
      <c r="AS71" s="31"/>
      <c r="AT71" s="32">
        <f t="shared" si="85"/>
        <v>0</v>
      </c>
      <c r="AU71" s="32">
        <f t="shared" si="85"/>
        <v>389300.53</v>
      </c>
      <c r="AV71" s="4"/>
      <c r="AW71" s="4">
        <f t="shared" si="86"/>
        <v>0</v>
      </c>
      <c r="AX71" s="30"/>
      <c r="AY71" s="9">
        <f>389300.53</f>
        <v>389300.53</v>
      </c>
      <c r="AZ71" s="4"/>
      <c r="BA71" s="4"/>
      <c r="BB71" s="30"/>
      <c r="BC71" s="9"/>
      <c r="BD71" s="4"/>
      <c r="BE71" s="4"/>
      <c r="BF71" s="30"/>
      <c r="BG71" s="9"/>
      <c r="BH71" s="4"/>
      <c r="BI71" s="4"/>
      <c r="BJ71" s="31"/>
      <c r="BK71" s="32">
        <f t="shared" si="87"/>
        <v>0</v>
      </c>
      <c r="BL71" s="32">
        <f t="shared" si="87"/>
        <v>0</v>
      </c>
      <c r="BM71" s="4"/>
      <c r="BN71" s="4"/>
      <c r="BO71" s="9"/>
      <c r="BP71" s="9"/>
      <c r="BQ71" s="5"/>
      <c r="BR71" s="5"/>
      <c r="BS71" s="9"/>
      <c r="BT71" s="9"/>
      <c r="BU71" s="5"/>
      <c r="BV71" s="5"/>
      <c r="BW71" s="9"/>
      <c r="BX71" s="9"/>
      <c r="BY71" s="5"/>
      <c r="BZ71" s="5"/>
      <c r="CA71" s="27"/>
    </row>
    <row r="72" spans="1:79" s="28" customFormat="1" ht="55.5" hidden="1" customHeight="1" x14ac:dyDescent="0.2">
      <c r="A72" s="29"/>
      <c r="B72" s="34" t="s">
        <v>130</v>
      </c>
      <c r="C72" s="9"/>
      <c r="D72" s="9"/>
      <c r="E72" s="9">
        <v>273000</v>
      </c>
      <c r="F72" s="30"/>
      <c r="G72" s="30">
        <f t="shared" si="82"/>
        <v>0</v>
      </c>
      <c r="H72" s="30">
        <f t="shared" si="82"/>
        <v>191756.59999999998</v>
      </c>
      <c r="I72" s="4"/>
      <c r="J72" s="4"/>
      <c r="K72" s="31"/>
      <c r="L72" s="32">
        <f t="shared" si="83"/>
        <v>0</v>
      </c>
      <c r="M72" s="32">
        <f t="shared" si="83"/>
        <v>0</v>
      </c>
      <c r="N72" s="4"/>
      <c r="O72" s="4"/>
      <c r="P72" s="30"/>
      <c r="Q72" s="30"/>
      <c r="R72" s="4"/>
      <c r="S72" s="4"/>
      <c r="T72" s="30"/>
      <c r="U72" s="30"/>
      <c r="V72" s="4"/>
      <c r="W72" s="4"/>
      <c r="X72" s="30"/>
      <c r="Y72" s="30"/>
      <c r="Z72" s="4"/>
      <c r="AA72" s="4"/>
      <c r="AB72" s="31"/>
      <c r="AC72" s="32">
        <f t="shared" si="84"/>
        <v>0</v>
      </c>
      <c r="AD72" s="32">
        <f t="shared" si="84"/>
        <v>81214.559999999998</v>
      </c>
      <c r="AE72" s="4"/>
      <c r="AF72" s="4"/>
      <c r="AG72" s="30"/>
      <c r="AH72" s="9">
        <f>81214.56</f>
        <v>81214.559999999998</v>
      </c>
      <c r="AI72" s="4"/>
      <c r="AJ72" s="4"/>
      <c r="AK72" s="30"/>
      <c r="AL72" s="9"/>
      <c r="AM72" s="4"/>
      <c r="AN72" s="4"/>
      <c r="AO72" s="30"/>
      <c r="AP72" s="9"/>
      <c r="AQ72" s="4"/>
      <c r="AR72" s="4"/>
      <c r="AS72" s="31"/>
      <c r="AT72" s="32">
        <f t="shared" si="85"/>
        <v>0</v>
      </c>
      <c r="AU72" s="32">
        <f t="shared" si="85"/>
        <v>110542.04</v>
      </c>
      <c r="AV72" s="4"/>
      <c r="AW72" s="4">
        <f t="shared" si="86"/>
        <v>0</v>
      </c>
      <c r="AX72" s="30"/>
      <c r="AY72" s="9">
        <f>110542.04</f>
        <v>110542.04</v>
      </c>
      <c r="AZ72" s="4"/>
      <c r="BA72" s="4"/>
      <c r="BB72" s="30"/>
      <c r="BC72" s="9"/>
      <c r="BD72" s="4"/>
      <c r="BE72" s="4"/>
      <c r="BF72" s="30"/>
      <c r="BG72" s="9"/>
      <c r="BH72" s="4"/>
      <c r="BI72" s="4"/>
      <c r="BJ72" s="31"/>
      <c r="BK72" s="32">
        <f t="shared" si="87"/>
        <v>0</v>
      </c>
      <c r="BL72" s="32">
        <f t="shared" si="87"/>
        <v>0</v>
      </c>
      <c r="BM72" s="4"/>
      <c r="BN72" s="4"/>
      <c r="BO72" s="9"/>
      <c r="BP72" s="9"/>
      <c r="BQ72" s="5"/>
      <c r="BR72" s="5"/>
      <c r="BS72" s="9"/>
      <c r="BT72" s="9"/>
      <c r="BU72" s="5"/>
      <c r="BV72" s="5"/>
      <c r="BW72" s="9"/>
      <c r="BX72" s="9"/>
      <c r="BY72" s="5"/>
      <c r="BZ72" s="5"/>
      <c r="CA72" s="27"/>
    </row>
    <row r="73" spans="1:79" s="28" customFormat="1" ht="55.5" hidden="1" customHeight="1" x14ac:dyDescent="0.2">
      <c r="A73" s="47"/>
      <c r="B73" s="34" t="s">
        <v>131</v>
      </c>
      <c r="C73" s="9"/>
      <c r="D73" s="9"/>
      <c r="E73" s="9">
        <v>216000</v>
      </c>
      <c r="F73" s="30"/>
      <c r="G73" s="30">
        <f t="shared" si="82"/>
        <v>0</v>
      </c>
      <c r="H73" s="30">
        <f t="shared" si="82"/>
        <v>216000</v>
      </c>
      <c r="I73" s="4"/>
      <c r="J73" s="4"/>
      <c r="K73" s="31"/>
      <c r="L73" s="32">
        <f t="shared" si="83"/>
        <v>0</v>
      </c>
      <c r="M73" s="32">
        <f t="shared" si="83"/>
        <v>54000</v>
      </c>
      <c r="N73" s="4"/>
      <c r="O73" s="4"/>
      <c r="P73" s="30"/>
      <c r="Q73" s="30">
        <v>18000</v>
      </c>
      <c r="R73" s="4"/>
      <c r="S73" s="4"/>
      <c r="T73" s="30"/>
      <c r="U73" s="30">
        <v>18000</v>
      </c>
      <c r="V73" s="4"/>
      <c r="W73" s="4"/>
      <c r="X73" s="30"/>
      <c r="Y73" s="30">
        <v>18000</v>
      </c>
      <c r="Z73" s="4"/>
      <c r="AA73" s="4"/>
      <c r="AB73" s="31"/>
      <c r="AC73" s="32">
        <f t="shared" si="84"/>
        <v>0</v>
      </c>
      <c r="AD73" s="32">
        <f t="shared" si="84"/>
        <v>54000</v>
      </c>
      <c r="AE73" s="4"/>
      <c r="AF73" s="4"/>
      <c r="AG73" s="30"/>
      <c r="AH73" s="9">
        <v>18000</v>
      </c>
      <c r="AI73" s="4"/>
      <c r="AJ73" s="4"/>
      <c r="AK73" s="30"/>
      <c r="AL73" s="9">
        <v>18000</v>
      </c>
      <c r="AM73" s="4"/>
      <c r="AN73" s="4"/>
      <c r="AO73" s="30"/>
      <c r="AP73" s="9">
        <v>18000</v>
      </c>
      <c r="AQ73" s="4"/>
      <c r="AR73" s="4"/>
      <c r="AS73" s="31"/>
      <c r="AT73" s="32">
        <f t="shared" si="85"/>
        <v>0</v>
      </c>
      <c r="AU73" s="32">
        <f t="shared" si="85"/>
        <v>54000</v>
      </c>
      <c r="AV73" s="4"/>
      <c r="AW73" s="4">
        <f t="shared" si="86"/>
        <v>0</v>
      </c>
      <c r="AX73" s="30"/>
      <c r="AY73" s="9">
        <v>18000</v>
      </c>
      <c r="AZ73" s="4"/>
      <c r="BA73" s="4"/>
      <c r="BB73" s="30"/>
      <c r="BC73" s="9">
        <v>18000</v>
      </c>
      <c r="BD73" s="4"/>
      <c r="BE73" s="4"/>
      <c r="BF73" s="30"/>
      <c r="BG73" s="9">
        <v>18000</v>
      </c>
      <c r="BH73" s="4"/>
      <c r="BI73" s="4"/>
      <c r="BJ73" s="31"/>
      <c r="BK73" s="32">
        <f t="shared" si="87"/>
        <v>0</v>
      </c>
      <c r="BL73" s="32">
        <f t="shared" si="87"/>
        <v>54000</v>
      </c>
      <c r="BM73" s="4"/>
      <c r="BN73" s="4"/>
      <c r="BO73" s="9"/>
      <c r="BP73" s="9">
        <v>18000</v>
      </c>
      <c r="BQ73" s="5"/>
      <c r="BR73" s="5"/>
      <c r="BS73" s="9"/>
      <c r="BT73" s="9">
        <v>18000</v>
      </c>
      <c r="BU73" s="5"/>
      <c r="BV73" s="5"/>
      <c r="BW73" s="9"/>
      <c r="BX73" s="9">
        <v>18000</v>
      </c>
      <c r="BY73" s="5"/>
      <c r="BZ73" s="5"/>
      <c r="CA73" s="27"/>
    </row>
    <row r="74" spans="1:79" s="35" customFormat="1" ht="42" hidden="1" customHeight="1" x14ac:dyDescent="0.25">
      <c r="A74" s="22" t="s">
        <v>57</v>
      </c>
      <c r="B74" s="23" t="s">
        <v>132</v>
      </c>
      <c r="C74" s="10">
        <v>725000</v>
      </c>
      <c r="D74" s="10">
        <v>651400</v>
      </c>
      <c r="E74" s="10">
        <f>SUM(E75:E75)</f>
        <v>651400</v>
      </c>
      <c r="F74" s="25">
        <f>K74+AB74+AS74+BJ74</f>
        <v>651400</v>
      </c>
      <c r="G74" s="26">
        <f>SUM(G75:G75)</f>
        <v>651332</v>
      </c>
      <c r="H74" s="26">
        <f>SUM(H75:H75)</f>
        <v>651332</v>
      </c>
      <c r="I74" s="1">
        <f>SUM(I75:I75)</f>
        <v>0</v>
      </c>
      <c r="J74" s="1">
        <f>SUM(J75:J75)</f>
        <v>0</v>
      </c>
      <c r="K74" s="10">
        <v>181200</v>
      </c>
      <c r="L74" s="26">
        <f t="shared" ref="L74:AA74" si="88">SUM(L75:L75)</f>
        <v>181149</v>
      </c>
      <c r="M74" s="26">
        <f t="shared" si="88"/>
        <v>181149</v>
      </c>
      <c r="N74" s="1">
        <f t="shared" si="88"/>
        <v>0</v>
      </c>
      <c r="O74" s="1">
        <f t="shared" si="88"/>
        <v>0</v>
      </c>
      <c r="P74" s="26">
        <f t="shared" si="88"/>
        <v>60383</v>
      </c>
      <c r="Q74" s="26">
        <f>SUM(Q75:Q75)</f>
        <v>60383</v>
      </c>
      <c r="R74" s="1">
        <f t="shared" si="88"/>
        <v>0</v>
      </c>
      <c r="S74" s="1">
        <f t="shared" si="88"/>
        <v>0</v>
      </c>
      <c r="T74" s="26">
        <f t="shared" si="88"/>
        <v>60383</v>
      </c>
      <c r="U74" s="26">
        <f>SUM(U75:U75)</f>
        <v>60383</v>
      </c>
      <c r="V74" s="1">
        <f t="shared" si="88"/>
        <v>0</v>
      </c>
      <c r="W74" s="1">
        <f t="shared" si="88"/>
        <v>0</v>
      </c>
      <c r="X74" s="26">
        <f t="shared" si="88"/>
        <v>60383</v>
      </c>
      <c r="Y74" s="26">
        <f>SUM(Y75:Y75)</f>
        <v>60383</v>
      </c>
      <c r="Z74" s="1">
        <f t="shared" si="88"/>
        <v>0</v>
      </c>
      <c r="AA74" s="1">
        <f t="shared" si="88"/>
        <v>0</v>
      </c>
      <c r="AB74" s="10">
        <v>181300</v>
      </c>
      <c r="AC74" s="26">
        <f t="shared" ref="AC74:AR74" si="89">SUM(AC75:AC75)</f>
        <v>181149</v>
      </c>
      <c r="AD74" s="26">
        <f t="shared" si="89"/>
        <v>181149</v>
      </c>
      <c r="AE74" s="1">
        <f t="shared" si="89"/>
        <v>0</v>
      </c>
      <c r="AF74" s="1">
        <f t="shared" si="89"/>
        <v>0</v>
      </c>
      <c r="AG74" s="26">
        <f t="shared" si="89"/>
        <v>60383</v>
      </c>
      <c r="AH74" s="10">
        <f>SUM(AH75:AH75)</f>
        <v>60383</v>
      </c>
      <c r="AI74" s="1">
        <f t="shared" si="89"/>
        <v>0</v>
      </c>
      <c r="AJ74" s="1">
        <f t="shared" si="89"/>
        <v>0</v>
      </c>
      <c r="AK74" s="26">
        <f t="shared" si="89"/>
        <v>60383</v>
      </c>
      <c r="AL74" s="10">
        <f>SUM(AL75:AL75)</f>
        <v>60383</v>
      </c>
      <c r="AM74" s="1">
        <f t="shared" si="89"/>
        <v>0</v>
      </c>
      <c r="AN74" s="1">
        <f t="shared" si="89"/>
        <v>0</v>
      </c>
      <c r="AO74" s="26">
        <f t="shared" si="89"/>
        <v>60383</v>
      </c>
      <c r="AP74" s="10">
        <f>SUM(AP75:AP75)</f>
        <v>60383</v>
      </c>
      <c r="AQ74" s="1">
        <f t="shared" si="89"/>
        <v>0</v>
      </c>
      <c r="AR74" s="1">
        <f t="shared" si="89"/>
        <v>0</v>
      </c>
      <c r="AS74" s="10">
        <v>181300</v>
      </c>
      <c r="AT74" s="26">
        <f t="shared" ref="AT74:BI74" si="90">SUM(AT75:AT75)</f>
        <v>153675</v>
      </c>
      <c r="AU74" s="26">
        <f t="shared" si="90"/>
        <v>153675</v>
      </c>
      <c r="AV74" s="1">
        <f t="shared" si="90"/>
        <v>0</v>
      </c>
      <c r="AW74" s="1">
        <f t="shared" si="90"/>
        <v>0</v>
      </c>
      <c r="AX74" s="26">
        <f t="shared" si="90"/>
        <v>51225</v>
      </c>
      <c r="AY74" s="10">
        <f>SUM(AY75:AY75)</f>
        <v>51225</v>
      </c>
      <c r="AZ74" s="1">
        <f t="shared" si="90"/>
        <v>0</v>
      </c>
      <c r="BA74" s="1">
        <f t="shared" si="90"/>
        <v>0</v>
      </c>
      <c r="BB74" s="26">
        <f t="shared" si="90"/>
        <v>51225</v>
      </c>
      <c r="BC74" s="10">
        <f>SUM(BC75:BC75)</f>
        <v>51225</v>
      </c>
      <c r="BD74" s="1">
        <f t="shared" si="90"/>
        <v>0</v>
      </c>
      <c r="BE74" s="1">
        <f t="shared" si="90"/>
        <v>0</v>
      </c>
      <c r="BF74" s="26">
        <f t="shared" si="90"/>
        <v>51225</v>
      </c>
      <c r="BG74" s="10">
        <f>SUM(BG75:BG75)</f>
        <v>51225</v>
      </c>
      <c r="BH74" s="1">
        <f t="shared" si="90"/>
        <v>0</v>
      </c>
      <c r="BI74" s="1">
        <f t="shared" si="90"/>
        <v>0</v>
      </c>
      <c r="BJ74" s="10">
        <v>107600</v>
      </c>
      <c r="BK74" s="26">
        <f t="shared" ref="BK74:BZ74" si="91">SUM(BK75:BK75)</f>
        <v>135359</v>
      </c>
      <c r="BL74" s="26">
        <f t="shared" si="91"/>
        <v>135359</v>
      </c>
      <c r="BM74" s="1">
        <f t="shared" si="91"/>
        <v>0</v>
      </c>
      <c r="BN74" s="1">
        <f t="shared" si="91"/>
        <v>0</v>
      </c>
      <c r="BO74" s="10">
        <f t="shared" si="91"/>
        <v>51225</v>
      </c>
      <c r="BP74" s="10">
        <f>SUM(BP75:BP75)</f>
        <v>51225</v>
      </c>
      <c r="BQ74" s="2">
        <f t="shared" si="91"/>
        <v>0</v>
      </c>
      <c r="BR74" s="2">
        <f t="shared" si="91"/>
        <v>0</v>
      </c>
      <c r="BS74" s="10">
        <f t="shared" si="91"/>
        <v>42067</v>
      </c>
      <c r="BT74" s="10">
        <f>SUM(BT75:BT75)</f>
        <v>42067</v>
      </c>
      <c r="BU74" s="2">
        <f t="shared" si="91"/>
        <v>0</v>
      </c>
      <c r="BV74" s="2">
        <f t="shared" si="91"/>
        <v>0</v>
      </c>
      <c r="BW74" s="10">
        <f t="shared" si="91"/>
        <v>42067</v>
      </c>
      <c r="BX74" s="10">
        <f>SUM(BX75:BX75)</f>
        <v>42067</v>
      </c>
      <c r="BY74" s="2">
        <f t="shared" si="91"/>
        <v>0</v>
      </c>
      <c r="BZ74" s="2">
        <f t="shared" si="91"/>
        <v>0</v>
      </c>
      <c r="CA74" s="27"/>
    </row>
    <row r="75" spans="1:79" s="35" customFormat="1" ht="42" hidden="1" customHeight="1" x14ac:dyDescent="0.25">
      <c r="A75" s="47"/>
      <c r="B75" s="11" t="s">
        <v>58</v>
      </c>
      <c r="C75" s="9"/>
      <c r="D75" s="9"/>
      <c r="E75" s="9">
        <v>651400</v>
      </c>
      <c r="F75" s="30"/>
      <c r="G75" s="30">
        <f>L75+AC75+AT75+BK75</f>
        <v>651332</v>
      </c>
      <c r="H75" s="30">
        <f>M75+AD75+AU75+BL75</f>
        <v>651332</v>
      </c>
      <c r="I75" s="4"/>
      <c r="J75" s="4">
        <f>O75+AF75+AW75+BN75</f>
        <v>0</v>
      </c>
      <c r="K75" s="31"/>
      <c r="L75" s="32">
        <f>P75+T75+X75</f>
        <v>181149</v>
      </c>
      <c r="M75" s="32">
        <f>Q75+U75+Y75</f>
        <v>181149</v>
      </c>
      <c r="N75" s="4"/>
      <c r="O75" s="4"/>
      <c r="P75" s="30">
        <v>60383</v>
      </c>
      <c r="Q75" s="30">
        <v>60383</v>
      </c>
      <c r="R75" s="4"/>
      <c r="S75" s="4"/>
      <c r="T75" s="30">
        <v>60383</v>
      </c>
      <c r="U75" s="30">
        <v>60383</v>
      </c>
      <c r="V75" s="4"/>
      <c r="W75" s="4"/>
      <c r="X75" s="30">
        <v>60383</v>
      </c>
      <c r="Y75" s="30">
        <v>60383</v>
      </c>
      <c r="Z75" s="4"/>
      <c r="AA75" s="4"/>
      <c r="AB75" s="31"/>
      <c r="AC75" s="32">
        <f>AG75+AK75+AO75</f>
        <v>181149</v>
      </c>
      <c r="AD75" s="32">
        <f>AH75+AL75+AP75</f>
        <v>181149</v>
      </c>
      <c r="AE75" s="4"/>
      <c r="AF75" s="4"/>
      <c r="AG75" s="30">
        <v>60383</v>
      </c>
      <c r="AH75" s="9">
        <v>60383</v>
      </c>
      <c r="AI75" s="4"/>
      <c r="AJ75" s="4"/>
      <c r="AK75" s="30">
        <v>60383</v>
      </c>
      <c r="AL75" s="9">
        <v>60383</v>
      </c>
      <c r="AM75" s="4"/>
      <c r="AN75" s="4"/>
      <c r="AO75" s="30">
        <v>60383</v>
      </c>
      <c r="AP75" s="9">
        <v>60383</v>
      </c>
      <c r="AQ75" s="4"/>
      <c r="AR75" s="4"/>
      <c r="AS75" s="31"/>
      <c r="AT75" s="32">
        <f>AX75+BB75+BF75</f>
        <v>153675</v>
      </c>
      <c r="AU75" s="32">
        <f>AY75+BC75+BG75</f>
        <v>153675</v>
      </c>
      <c r="AV75" s="4"/>
      <c r="AW75" s="4">
        <f>BA75+BE75+BI75</f>
        <v>0</v>
      </c>
      <c r="AX75" s="30">
        <v>51225</v>
      </c>
      <c r="AY75" s="9">
        <v>51225</v>
      </c>
      <c r="AZ75" s="4"/>
      <c r="BA75" s="4"/>
      <c r="BB75" s="30">
        <v>51225</v>
      </c>
      <c r="BC75" s="9">
        <v>51225</v>
      </c>
      <c r="BD75" s="4"/>
      <c r="BE75" s="4"/>
      <c r="BF75" s="30">
        <v>51225</v>
      </c>
      <c r="BG75" s="9">
        <v>51225</v>
      </c>
      <c r="BH75" s="4"/>
      <c r="BI75" s="4"/>
      <c r="BJ75" s="31"/>
      <c r="BK75" s="32">
        <f>BO75+BS75+BW75</f>
        <v>135359</v>
      </c>
      <c r="BL75" s="32">
        <f>BP75+BT75+BX75</f>
        <v>135359</v>
      </c>
      <c r="BM75" s="4"/>
      <c r="BN75" s="4"/>
      <c r="BO75" s="9">
        <v>51225</v>
      </c>
      <c r="BP75" s="9">
        <v>51225</v>
      </c>
      <c r="BQ75" s="5"/>
      <c r="BR75" s="5"/>
      <c r="BS75" s="9">
        <v>42067</v>
      </c>
      <c r="BT75" s="9">
        <v>42067</v>
      </c>
      <c r="BU75" s="5"/>
      <c r="BV75" s="5"/>
      <c r="BW75" s="9">
        <v>42067</v>
      </c>
      <c r="BX75" s="9">
        <v>42067</v>
      </c>
      <c r="BY75" s="5"/>
      <c r="BZ75" s="5"/>
      <c r="CA75" s="27"/>
    </row>
    <row r="76" spans="1:79" s="35" customFormat="1" ht="42" hidden="1" customHeight="1" x14ac:dyDescent="0.25">
      <c r="A76" s="22" t="s">
        <v>59</v>
      </c>
      <c r="B76" s="23" t="s">
        <v>60</v>
      </c>
      <c r="C76" s="10">
        <v>26000000</v>
      </c>
      <c r="D76" s="10">
        <v>25348200</v>
      </c>
      <c r="E76" s="10">
        <f>SUM(E77:E80)</f>
        <v>25348200</v>
      </c>
      <c r="F76" s="25">
        <f>K76+AB76+AS76+BJ76</f>
        <v>25348200</v>
      </c>
      <c r="G76" s="26">
        <f>SUM(G77:G80)</f>
        <v>24756422.760000002</v>
      </c>
      <c r="H76" s="26">
        <f t="shared" ref="H76:BS76" si="92">SUM(H77:H80)</f>
        <v>25346035.690000001</v>
      </c>
      <c r="I76" s="1">
        <f t="shared" si="92"/>
        <v>0</v>
      </c>
      <c r="J76" s="1">
        <f t="shared" si="92"/>
        <v>0</v>
      </c>
      <c r="K76" s="10">
        <v>6522500</v>
      </c>
      <c r="L76" s="26">
        <f t="shared" si="92"/>
        <v>6047264.5200000005</v>
      </c>
      <c r="M76" s="26">
        <f t="shared" si="92"/>
        <v>5997895.5200000005</v>
      </c>
      <c r="N76" s="1">
        <f t="shared" si="92"/>
        <v>0</v>
      </c>
      <c r="O76" s="1">
        <f t="shared" si="92"/>
        <v>0</v>
      </c>
      <c r="P76" s="26">
        <f t="shared" si="92"/>
        <v>1902615.8299999998</v>
      </c>
      <c r="Q76" s="26">
        <f t="shared" si="92"/>
        <v>326540</v>
      </c>
      <c r="R76" s="1">
        <f t="shared" si="92"/>
        <v>0</v>
      </c>
      <c r="S76" s="1">
        <f t="shared" si="92"/>
        <v>0</v>
      </c>
      <c r="T76" s="26">
        <f t="shared" si="92"/>
        <v>2072523.77</v>
      </c>
      <c r="U76" s="26">
        <f t="shared" si="92"/>
        <v>2053243.3699999999</v>
      </c>
      <c r="V76" s="1">
        <f t="shared" si="92"/>
        <v>0</v>
      </c>
      <c r="W76" s="1">
        <f t="shared" si="92"/>
        <v>0</v>
      </c>
      <c r="X76" s="26">
        <f t="shared" si="92"/>
        <v>2072124.92</v>
      </c>
      <c r="Y76" s="26">
        <f t="shared" si="92"/>
        <v>3618112.15</v>
      </c>
      <c r="Z76" s="1">
        <f t="shared" si="92"/>
        <v>0</v>
      </c>
      <c r="AA76" s="1">
        <f t="shared" si="92"/>
        <v>0</v>
      </c>
      <c r="AB76" s="10">
        <v>6518500</v>
      </c>
      <c r="AC76" s="26">
        <f t="shared" ref="AC76:AH76" si="93">SUM(AC77:AC80)</f>
        <v>6134039.6200000001</v>
      </c>
      <c r="AD76" s="26">
        <f t="shared" si="93"/>
        <v>6144408.6200000001</v>
      </c>
      <c r="AE76" s="1">
        <f t="shared" si="93"/>
        <v>0</v>
      </c>
      <c r="AF76" s="1">
        <f t="shared" si="93"/>
        <v>0</v>
      </c>
      <c r="AG76" s="26">
        <f t="shared" si="93"/>
        <v>2050734.98</v>
      </c>
      <c r="AH76" s="10">
        <f t="shared" si="93"/>
        <v>2028102.66</v>
      </c>
      <c r="AI76" s="1">
        <f t="shared" si="92"/>
        <v>0</v>
      </c>
      <c r="AJ76" s="1">
        <f t="shared" si="92"/>
        <v>0</v>
      </c>
      <c r="AK76" s="26">
        <f t="shared" si="92"/>
        <v>2007630.7</v>
      </c>
      <c r="AL76" s="10">
        <f t="shared" si="92"/>
        <v>2079632.02</v>
      </c>
      <c r="AM76" s="1">
        <f t="shared" si="92"/>
        <v>0</v>
      </c>
      <c r="AN76" s="1">
        <f t="shared" si="92"/>
        <v>0</v>
      </c>
      <c r="AO76" s="26">
        <f t="shared" si="92"/>
        <v>2075673.94</v>
      </c>
      <c r="AP76" s="10">
        <f t="shared" si="92"/>
        <v>2036673.94</v>
      </c>
      <c r="AQ76" s="1">
        <f t="shared" si="92"/>
        <v>0</v>
      </c>
      <c r="AR76" s="1">
        <f t="shared" si="92"/>
        <v>0</v>
      </c>
      <c r="AS76" s="10">
        <v>6495500</v>
      </c>
      <c r="AT76" s="26">
        <f t="shared" si="92"/>
        <v>6094630.9299999997</v>
      </c>
      <c r="AU76" s="26">
        <f t="shared" si="92"/>
        <v>6118958.5299999993</v>
      </c>
      <c r="AV76" s="1">
        <f>SUM(AV77:AV80)</f>
        <v>0</v>
      </c>
      <c r="AW76" s="1">
        <f>SUM(AW77:AW80)</f>
        <v>0</v>
      </c>
      <c r="AX76" s="26">
        <f>SUM(AX77:AX80)</f>
        <v>2035764.71</v>
      </c>
      <c r="AY76" s="10">
        <f>SUM(AY77:AY80)</f>
        <v>2067180.21</v>
      </c>
      <c r="AZ76" s="1">
        <f t="shared" si="92"/>
        <v>0</v>
      </c>
      <c r="BA76" s="1">
        <f t="shared" si="92"/>
        <v>0</v>
      </c>
      <c r="BB76" s="26">
        <f t="shared" si="92"/>
        <v>2009429.5</v>
      </c>
      <c r="BC76" s="10">
        <f t="shared" si="92"/>
        <v>2015133.2</v>
      </c>
      <c r="BD76" s="1">
        <f t="shared" si="92"/>
        <v>0</v>
      </c>
      <c r="BE76" s="1">
        <f t="shared" si="92"/>
        <v>0</v>
      </c>
      <c r="BF76" s="26">
        <f t="shared" si="92"/>
        <v>2049436.72</v>
      </c>
      <c r="BG76" s="10">
        <f t="shared" si="92"/>
        <v>2036645.1199999999</v>
      </c>
      <c r="BH76" s="1">
        <f t="shared" si="92"/>
        <v>0</v>
      </c>
      <c r="BI76" s="1">
        <f t="shared" si="92"/>
        <v>0</v>
      </c>
      <c r="BJ76" s="10">
        <v>5811700</v>
      </c>
      <c r="BK76" s="26">
        <f t="shared" si="92"/>
        <v>6480487.6900000004</v>
      </c>
      <c r="BL76" s="26">
        <f t="shared" si="92"/>
        <v>7084773.0200000005</v>
      </c>
      <c r="BM76" s="1">
        <f>SUM(BM77:BM80)</f>
        <v>0</v>
      </c>
      <c r="BN76" s="1">
        <f>SUM(BN77:BN80)</f>
        <v>0</v>
      </c>
      <c r="BO76" s="10">
        <f t="shared" si="92"/>
        <v>2063761.19</v>
      </c>
      <c r="BP76" s="10">
        <f t="shared" si="92"/>
        <v>2078384.52</v>
      </c>
      <c r="BQ76" s="2">
        <f t="shared" si="92"/>
        <v>0</v>
      </c>
      <c r="BR76" s="2">
        <f t="shared" si="92"/>
        <v>0</v>
      </c>
      <c r="BS76" s="10">
        <f t="shared" si="92"/>
        <v>2092710.19</v>
      </c>
      <c r="BT76" s="10">
        <f>SUM(BT77:BT80)</f>
        <v>2093217.19</v>
      </c>
      <c r="BU76" s="2">
        <f t="shared" ref="BU76:BZ76" si="94">SUM(BU77:BU80)</f>
        <v>0</v>
      </c>
      <c r="BV76" s="2">
        <f t="shared" si="94"/>
        <v>0</v>
      </c>
      <c r="BW76" s="10">
        <f t="shared" si="94"/>
        <v>2324016.31</v>
      </c>
      <c r="BX76" s="10">
        <f t="shared" si="94"/>
        <v>2913171.3099999996</v>
      </c>
      <c r="BY76" s="2">
        <f t="shared" si="94"/>
        <v>0</v>
      </c>
      <c r="BZ76" s="2">
        <f t="shared" si="94"/>
        <v>0</v>
      </c>
      <c r="CA76" s="27"/>
    </row>
    <row r="77" spans="1:79" s="35" customFormat="1" ht="42" hidden="1" customHeight="1" x14ac:dyDescent="0.25">
      <c r="A77" s="50"/>
      <c r="B77" s="15" t="s">
        <v>61</v>
      </c>
      <c r="C77" s="9"/>
      <c r="D77" s="9"/>
      <c r="E77" s="9">
        <v>18961600</v>
      </c>
      <c r="F77" s="30"/>
      <c r="G77" s="30">
        <f>L77+AC77+AT77+BK77</f>
        <v>18369891.990000002</v>
      </c>
      <c r="H77" s="30">
        <f t="shared" ref="G77:H80" si="95">M77+AD77+AU77+BL77</f>
        <v>18959504.920000002</v>
      </c>
      <c r="I77" s="4"/>
      <c r="J77" s="4">
        <f>O77+AF77+AW77+BN77</f>
        <v>0</v>
      </c>
      <c r="K77" s="31"/>
      <c r="L77" s="32">
        <f t="shared" ref="L77:M80" si="96">P77+T77+X77</f>
        <v>4595995.62</v>
      </c>
      <c r="M77" s="32">
        <f t="shared" si="96"/>
        <v>4590275.62</v>
      </c>
      <c r="N77" s="4"/>
      <c r="O77" s="4"/>
      <c r="P77" s="30">
        <v>1531500.39</v>
      </c>
      <c r="Q77" s="30"/>
      <c r="R77" s="4"/>
      <c r="S77" s="4"/>
      <c r="T77" s="30">
        <v>1532043.23</v>
      </c>
      <c r="U77" s="30">
        <v>1531500.39</v>
      </c>
      <c r="V77" s="4"/>
      <c r="W77" s="4"/>
      <c r="X77" s="30">
        <v>1532452</v>
      </c>
      <c r="Y77" s="30">
        <v>3058775.23</v>
      </c>
      <c r="Z77" s="4"/>
      <c r="AA77" s="4"/>
      <c r="AB77" s="31"/>
      <c r="AC77" s="32">
        <f t="shared" ref="AC77:AD80" si="97">AG77+AK77+AO77</f>
        <v>4593171.75</v>
      </c>
      <c r="AD77" s="32">
        <f t="shared" si="97"/>
        <v>4598891.75</v>
      </c>
      <c r="AE77" s="4"/>
      <c r="AF77" s="4"/>
      <c r="AG77" s="30">
        <v>1532173.27</v>
      </c>
      <c r="AH77" s="9">
        <v>1509177.95</v>
      </c>
      <c r="AI77" s="4"/>
      <c r="AJ77" s="4"/>
      <c r="AK77" s="30">
        <v>1531351.55</v>
      </c>
      <c r="AL77" s="9">
        <v>1560066.87</v>
      </c>
      <c r="AM77" s="4"/>
      <c r="AN77" s="4"/>
      <c r="AO77" s="30">
        <v>1529646.93</v>
      </c>
      <c r="AP77" s="9">
        <v>1529646.93</v>
      </c>
      <c r="AQ77" s="4"/>
      <c r="AR77" s="4"/>
      <c r="AS77" s="31"/>
      <c r="AT77" s="32">
        <f t="shared" ref="AT77:AU80" si="98">AX77+BB77+BF77</f>
        <v>4591475.96</v>
      </c>
      <c r="AU77" s="32">
        <f t="shared" si="98"/>
        <v>4548716.5599999996</v>
      </c>
      <c r="AV77" s="4"/>
      <c r="AW77" s="4">
        <f>BA77+BE77+BI77</f>
        <v>0</v>
      </c>
      <c r="AX77" s="30">
        <v>1530150.15</v>
      </c>
      <c r="AY77" s="9">
        <v>1527621.65</v>
      </c>
      <c r="AZ77" s="4"/>
      <c r="BA77" s="4"/>
      <c r="BB77" s="30">
        <v>1529998.55</v>
      </c>
      <c r="BC77" s="9">
        <v>1491646.25</v>
      </c>
      <c r="BD77" s="4"/>
      <c r="BE77" s="4"/>
      <c r="BF77" s="30">
        <v>1531327.26</v>
      </c>
      <c r="BG77" s="9">
        <v>1529448.66</v>
      </c>
      <c r="BH77" s="4"/>
      <c r="BI77" s="4"/>
      <c r="BJ77" s="31"/>
      <c r="BK77" s="32">
        <f t="shared" ref="BK77:BL80" si="99">BO77+BS77+BW77</f>
        <v>4589248.66</v>
      </c>
      <c r="BL77" s="32">
        <f t="shared" si="99"/>
        <v>5221620.99</v>
      </c>
      <c r="BM77" s="4"/>
      <c r="BN77" s="4"/>
      <c r="BO77" s="9">
        <v>1528932.21</v>
      </c>
      <c r="BP77" s="9">
        <v>1532642.54</v>
      </c>
      <c r="BQ77" s="5"/>
      <c r="BR77" s="5"/>
      <c r="BS77" s="9">
        <v>1531053.67</v>
      </c>
      <c r="BT77" s="9">
        <v>1531560.67</v>
      </c>
      <c r="BU77" s="5"/>
      <c r="BV77" s="5"/>
      <c r="BW77" s="9">
        <v>1529262.78</v>
      </c>
      <c r="BX77" s="9">
        <v>2157417.7799999998</v>
      </c>
      <c r="BY77" s="5"/>
      <c r="BZ77" s="5"/>
      <c r="CA77" s="27"/>
    </row>
    <row r="78" spans="1:79" s="35" customFormat="1" ht="39.75" hidden="1" customHeight="1" x14ac:dyDescent="0.25">
      <c r="A78" s="50"/>
      <c r="B78" s="11" t="s">
        <v>62</v>
      </c>
      <c r="C78" s="9"/>
      <c r="D78" s="9"/>
      <c r="E78" s="9">
        <v>3687400</v>
      </c>
      <c r="F78" s="30"/>
      <c r="G78" s="30">
        <f>L78+AC78+AT78+BK78</f>
        <v>3687395.39</v>
      </c>
      <c r="H78" s="30">
        <f t="shared" si="95"/>
        <v>3687395.39</v>
      </c>
      <c r="I78" s="4"/>
      <c r="J78" s="4">
        <f>O78+AF78+AW78+BN78</f>
        <v>0</v>
      </c>
      <c r="K78" s="31"/>
      <c r="L78" s="32">
        <f t="shared" si="96"/>
        <v>922478</v>
      </c>
      <c r="M78" s="32">
        <f t="shared" si="96"/>
        <v>922478</v>
      </c>
      <c r="N78" s="4"/>
      <c r="O78" s="4"/>
      <c r="P78" s="30">
        <v>307344</v>
      </c>
      <c r="Q78" s="30">
        <v>307344</v>
      </c>
      <c r="R78" s="4"/>
      <c r="S78" s="4"/>
      <c r="T78" s="30">
        <v>307567</v>
      </c>
      <c r="U78" s="30">
        <v>302587</v>
      </c>
      <c r="V78" s="4"/>
      <c r="W78" s="4"/>
      <c r="X78" s="30">
        <v>307567</v>
      </c>
      <c r="Y78" s="30">
        <v>312547</v>
      </c>
      <c r="Z78" s="4"/>
      <c r="AA78" s="4"/>
      <c r="AB78" s="31"/>
      <c r="AC78" s="32">
        <f>AG78+AK78+AO78</f>
        <v>922701</v>
      </c>
      <c r="AD78" s="32">
        <f t="shared" si="97"/>
        <v>922701</v>
      </c>
      <c r="AE78" s="4"/>
      <c r="AF78" s="4"/>
      <c r="AG78" s="30">
        <v>307567</v>
      </c>
      <c r="AH78" s="9">
        <v>307567</v>
      </c>
      <c r="AI78" s="4"/>
      <c r="AJ78" s="4"/>
      <c r="AK78" s="30">
        <v>307567</v>
      </c>
      <c r="AL78" s="9">
        <v>307567</v>
      </c>
      <c r="AM78" s="4"/>
      <c r="AN78" s="4"/>
      <c r="AO78" s="30">
        <v>307567</v>
      </c>
      <c r="AP78" s="9">
        <v>307567</v>
      </c>
      <c r="AQ78" s="4"/>
      <c r="AR78" s="4"/>
      <c r="AS78" s="31"/>
      <c r="AT78" s="32">
        <f>AX78+BB78+BF78</f>
        <v>921249.39</v>
      </c>
      <c r="AU78" s="32">
        <f t="shared" si="98"/>
        <v>915235.39</v>
      </c>
      <c r="AV78" s="4"/>
      <c r="AW78" s="4">
        <f>BA78+BE78+BI78</f>
        <v>0</v>
      </c>
      <c r="AX78" s="30">
        <v>307567</v>
      </c>
      <c r="AY78" s="9">
        <v>307567</v>
      </c>
      <c r="AZ78" s="4"/>
      <c r="BA78" s="4"/>
      <c r="BB78" s="30">
        <v>307567</v>
      </c>
      <c r="BC78" s="9">
        <v>307567</v>
      </c>
      <c r="BD78" s="4"/>
      <c r="BE78" s="4"/>
      <c r="BF78" s="30">
        <v>306115.39</v>
      </c>
      <c r="BG78" s="9">
        <v>300101.39</v>
      </c>
      <c r="BH78" s="4"/>
      <c r="BI78" s="4"/>
      <c r="BJ78" s="31"/>
      <c r="BK78" s="32">
        <f>BO78+BS78+BW78</f>
        <v>920967</v>
      </c>
      <c r="BL78" s="32">
        <f t="shared" si="99"/>
        <v>926981</v>
      </c>
      <c r="BM78" s="4"/>
      <c r="BN78" s="4"/>
      <c r="BO78" s="9">
        <v>307567</v>
      </c>
      <c r="BP78" s="9">
        <v>313581</v>
      </c>
      <c r="BQ78" s="5"/>
      <c r="BR78" s="5"/>
      <c r="BS78" s="9">
        <v>306700</v>
      </c>
      <c r="BT78" s="9">
        <v>306700</v>
      </c>
      <c r="BU78" s="5"/>
      <c r="BV78" s="5"/>
      <c r="BW78" s="9">
        <v>306700</v>
      </c>
      <c r="BX78" s="9">
        <v>306700</v>
      </c>
      <c r="BY78" s="5"/>
      <c r="BZ78" s="5"/>
      <c r="CA78" s="27"/>
    </row>
    <row r="79" spans="1:79" s="35" customFormat="1" ht="42" hidden="1" customHeight="1" x14ac:dyDescent="0.25">
      <c r="A79" s="50"/>
      <c r="B79" s="11" t="s">
        <v>63</v>
      </c>
      <c r="C79" s="9"/>
      <c r="D79" s="9"/>
      <c r="E79" s="9">
        <v>207300</v>
      </c>
      <c r="F79" s="30"/>
      <c r="G79" s="30">
        <f t="shared" si="95"/>
        <v>207279</v>
      </c>
      <c r="H79" s="30">
        <f t="shared" si="95"/>
        <v>207279</v>
      </c>
      <c r="I79" s="4"/>
      <c r="J79" s="4">
        <f>O79+AF79+AW79+BN79</f>
        <v>0</v>
      </c>
      <c r="K79" s="31"/>
      <c r="L79" s="32">
        <f t="shared" si="96"/>
        <v>57362</v>
      </c>
      <c r="M79" s="32">
        <f t="shared" si="96"/>
        <v>57362</v>
      </c>
      <c r="N79" s="4"/>
      <c r="O79" s="4"/>
      <c r="P79" s="30">
        <v>18696</v>
      </c>
      <c r="Q79" s="30">
        <v>18696</v>
      </c>
      <c r="R79" s="4"/>
      <c r="S79" s="4"/>
      <c r="T79" s="30">
        <v>19333</v>
      </c>
      <c r="U79" s="30"/>
      <c r="V79" s="4"/>
      <c r="W79" s="4"/>
      <c r="X79" s="30">
        <v>19333</v>
      </c>
      <c r="Y79" s="30">
        <v>38666</v>
      </c>
      <c r="Z79" s="4"/>
      <c r="AA79" s="4"/>
      <c r="AB79" s="31"/>
      <c r="AC79" s="32">
        <f t="shared" si="97"/>
        <v>52989</v>
      </c>
      <c r="AD79" s="32">
        <f t="shared" si="97"/>
        <v>52989</v>
      </c>
      <c r="AE79" s="4"/>
      <c r="AF79" s="4"/>
      <c r="AG79" s="30">
        <v>19333</v>
      </c>
      <c r="AH79" s="9">
        <v>19333</v>
      </c>
      <c r="AI79" s="4"/>
      <c r="AJ79" s="4"/>
      <c r="AK79" s="30">
        <v>17838</v>
      </c>
      <c r="AL79" s="9">
        <v>17838</v>
      </c>
      <c r="AM79" s="4"/>
      <c r="AN79" s="4"/>
      <c r="AO79" s="30">
        <v>15818</v>
      </c>
      <c r="AP79" s="9">
        <v>15818</v>
      </c>
      <c r="AQ79" s="4"/>
      <c r="AR79" s="4"/>
      <c r="AS79" s="31"/>
      <c r="AT79" s="32">
        <f t="shared" si="98"/>
        <v>47454</v>
      </c>
      <c r="AU79" s="32">
        <f t="shared" si="98"/>
        <v>47454</v>
      </c>
      <c r="AV79" s="4"/>
      <c r="AW79" s="4">
        <f>BA79+BE79+BI79</f>
        <v>0</v>
      </c>
      <c r="AX79" s="30">
        <v>15818</v>
      </c>
      <c r="AY79" s="9">
        <v>15818</v>
      </c>
      <c r="AZ79" s="4"/>
      <c r="BA79" s="4"/>
      <c r="BB79" s="30">
        <v>15818</v>
      </c>
      <c r="BC79" s="9">
        <v>15818</v>
      </c>
      <c r="BD79" s="4"/>
      <c r="BE79" s="4"/>
      <c r="BF79" s="30">
        <v>15818</v>
      </c>
      <c r="BG79" s="9">
        <v>15818</v>
      </c>
      <c r="BH79" s="4"/>
      <c r="BI79" s="4"/>
      <c r="BJ79" s="31"/>
      <c r="BK79" s="32">
        <f t="shared" si="99"/>
        <v>49474</v>
      </c>
      <c r="BL79" s="32">
        <f t="shared" si="99"/>
        <v>49474</v>
      </c>
      <c r="BM79" s="4"/>
      <c r="BN79" s="4"/>
      <c r="BO79" s="9">
        <v>15818</v>
      </c>
      <c r="BP79" s="9">
        <v>15818</v>
      </c>
      <c r="BQ79" s="5"/>
      <c r="BR79" s="5"/>
      <c r="BS79" s="9">
        <v>15818</v>
      </c>
      <c r="BT79" s="9">
        <v>15818</v>
      </c>
      <c r="BU79" s="5"/>
      <c r="BV79" s="5"/>
      <c r="BW79" s="9">
        <v>17838</v>
      </c>
      <c r="BX79" s="9">
        <v>17838</v>
      </c>
      <c r="BY79" s="5"/>
      <c r="BZ79" s="5"/>
      <c r="CA79" s="27"/>
    </row>
    <row r="80" spans="1:79" s="35" customFormat="1" ht="42" hidden="1" customHeight="1" x14ac:dyDescent="0.25">
      <c r="A80" s="50"/>
      <c r="B80" s="11" t="s">
        <v>64</v>
      </c>
      <c r="C80" s="9"/>
      <c r="D80" s="9"/>
      <c r="E80" s="9">
        <v>2491900</v>
      </c>
      <c r="F80" s="30"/>
      <c r="G80" s="30">
        <f t="shared" si="95"/>
        <v>2491856.38</v>
      </c>
      <c r="H80" s="30">
        <f t="shared" si="95"/>
        <v>2491856.38</v>
      </c>
      <c r="I80" s="4"/>
      <c r="J80" s="4">
        <f>O80+AF80+AW80+BN80</f>
        <v>0</v>
      </c>
      <c r="K80" s="31"/>
      <c r="L80" s="32">
        <f t="shared" si="96"/>
        <v>471428.9</v>
      </c>
      <c r="M80" s="32">
        <f t="shared" si="96"/>
        <v>427779.9</v>
      </c>
      <c r="N80" s="4"/>
      <c r="O80" s="4"/>
      <c r="P80" s="30">
        <v>45075.44</v>
      </c>
      <c r="Q80" s="30">
        <v>500</v>
      </c>
      <c r="R80" s="4"/>
      <c r="S80" s="4"/>
      <c r="T80" s="30">
        <v>213580.54</v>
      </c>
      <c r="U80" s="30">
        <v>219155.98</v>
      </c>
      <c r="V80" s="4"/>
      <c r="W80" s="4"/>
      <c r="X80" s="30">
        <v>212772.92</v>
      </c>
      <c r="Y80" s="30">
        <v>208123.92</v>
      </c>
      <c r="Z80" s="4"/>
      <c r="AA80" s="4"/>
      <c r="AB80" s="31"/>
      <c r="AC80" s="32">
        <f t="shared" si="97"/>
        <v>565177.87</v>
      </c>
      <c r="AD80" s="32">
        <f t="shared" si="97"/>
        <v>569826.87</v>
      </c>
      <c r="AE80" s="4"/>
      <c r="AF80" s="4"/>
      <c r="AG80" s="30">
        <v>191661.71</v>
      </c>
      <c r="AH80" s="9">
        <v>192024.71</v>
      </c>
      <c r="AI80" s="4"/>
      <c r="AJ80" s="4"/>
      <c r="AK80" s="30">
        <v>150874.15</v>
      </c>
      <c r="AL80" s="9">
        <v>194160.15</v>
      </c>
      <c r="AM80" s="4"/>
      <c r="AN80" s="4"/>
      <c r="AO80" s="30">
        <v>222642.01</v>
      </c>
      <c r="AP80" s="9">
        <v>183642.01</v>
      </c>
      <c r="AQ80" s="4"/>
      <c r="AR80" s="4"/>
      <c r="AS80" s="31"/>
      <c r="AT80" s="32">
        <f t="shared" si="98"/>
        <v>534451.58000000007</v>
      </c>
      <c r="AU80" s="32">
        <f t="shared" si="98"/>
        <v>607552.58000000007</v>
      </c>
      <c r="AV80" s="4"/>
      <c r="AW80" s="4">
        <f>BA80+BE80+BI80</f>
        <v>0</v>
      </c>
      <c r="AX80" s="30">
        <v>182229.56</v>
      </c>
      <c r="AY80" s="9">
        <v>216173.56</v>
      </c>
      <c r="AZ80" s="4"/>
      <c r="BA80" s="4"/>
      <c r="BB80" s="30">
        <v>156045.95000000001</v>
      </c>
      <c r="BC80" s="9">
        <v>200101.95</v>
      </c>
      <c r="BD80" s="4"/>
      <c r="BE80" s="4"/>
      <c r="BF80" s="30">
        <v>196176.07</v>
      </c>
      <c r="BG80" s="9">
        <v>191277.07</v>
      </c>
      <c r="BH80" s="4"/>
      <c r="BI80" s="4"/>
      <c r="BJ80" s="31"/>
      <c r="BK80" s="32">
        <f t="shared" si="99"/>
        <v>920798.03</v>
      </c>
      <c r="BL80" s="32">
        <f t="shared" si="99"/>
        <v>886697.03</v>
      </c>
      <c r="BM80" s="4"/>
      <c r="BN80" s="4"/>
      <c r="BO80" s="9">
        <v>211443.98</v>
      </c>
      <c r="BP80" s="9">
        <v>216342.98</v>
      </c>
      <c r="BQ80" s="5"/>
      <c r="BR80" s="5"/>
      <c r="BS80" s="9">
        <v>239138.52</v>
      </c>
      <c r="BT80" s="9">
        <v>239138.52</v>
      </c>
      <c r="BU80" s="5"/>
      <c r="BV80" s="5"/>
      <c r="BW80" s="9">
        <v>470215.53</v>
      </c>
      <c r="BX80" s="9">
        <f>470215.53-39000</f>
        <v>431215.53</v>
      </c>
      <c r="BY80" s="5"/>
      <c r="BZ80" s="5"/>
      <c r="CA80" s="27"/>
    </row>
    <row r="81" spans="1:79" s="28" customFormat="1" ht="42" customHeight="1" x14ac:dyDescent="0.2">
      <c r="A81" s="22" t="s">
        <v>65</v>
      </c>
      <c r="B81" s="23" t="s">
        <v>66</v>
      </c>
      <c r="C81" s="10">
        <v>22300000</v>
      </c>
      <c r="D81" s="10">
        <v>26880000</v>
      </c>
      <c r="E81" s="10">
        <f>SUM(E82:E83)</f>
        <v>26880000</v>
      </c>
      <c r="F81" s="25">
        <f>K81+AB81+AS81+BJ81</f>
        <v>26880000</v>
      </c>
      <c r="G81" s="26">
        <f>SUM(G82:G83)</f>
        <v>26878344.590000004</v>
      </c>
      <c r="H81" s="26">
        <f>SUM(H82:H83)</f>
        <v>26874341.770000003</v>
      </c>
      <c r="I81" s="1">
        <f>SUM(I82:I83)</f>
        <v>10454</v>
      </c>
      <c r="J81" s="1">
        <f>SUM(J82:J83)</f>
        <v>15107</v>
      </c>
      <c r="K81" s="10">
        <v>6101000</v>
      </c>
      <c r="L81" s="26">
        <f t="shared" ref="L81:AA81" si="100">SUM(L82:L83)</f>
        <v>7680592.2800000003</v>
      </c>
      <c r="M81" s="26">
        <f t="shared" si="100"/>
        <v>6084173.0200000005</v>
      </c>
      <c r="N81" s="1">
        <f t="shared" si="100"/>
        <v>3786</v>
      </c>
      <c r="O81" s="1">
        <f t="shared" si="100"/>
        <v>4578</v>
      </c>
      <c r="P81" s="26">
        <f t="shared" si="100"/>
        <v>2115318.19</v>
      </c>
      <c r="Q81" s="26">
        <f>SUM(Q82:Q83)</f>
        <v>1452297.04</v>
      </c>
      <c r="R81" s="1">
        <f t="shared" si="100"/>
        <v>1598</v>
      </c>
      <c r="S81" s="1">
        <f t="shared" si="100"/>
        <v>1745</v>
      </c>
      <c r="T81" s="26">
        <f t="shared" si="100"/>
        <v>2630563.46</v>
      </c>
      <c r="U81" s="26">
        <f>SUM(U82:U83)</f>
        <v>2885991.93</v>
      </c>
      <c r="V81" s="1">
        <f t="shared" si="100"/>
        <v>1266</v>
      </c>
      <c r="W81" s="1">
        <f t="shared" si="100"/>
        <v>1373</v>
      </c>
      <c r="X81" s="26">
        <f t="shared" si="100"/>
        <v>2934710.63</v>
      </c>
      <c r="Y81" s="26">
        <f>SUM(Y82:Y83)</f>
        <v>1745884.05</v>
      </c>
      <c r="Z81" s="1">
        <f t="shared" si="100"/>
        <v>1332</v>
      </c>
      <c r="AA81" s="1">
        <f t="shared" si="100"/>
        <v>1460</v>
      </c>
      <c r="AB81" s="10">
        <v>6830040</v>
      </c>
      <c r="AC81" s="26">
        <f t="shared" ref="AC81:AR81" si="101">SUM(AC82:AC83)</f>
        <v>6148678.4100000001</v>
      </c>
      <c r="AD81" s="26">
        <f t="shared" si="101"/>
        <v>6444765.7299999995</v>
      </c>
      <c r="AE81" s="1">
        <f t="shared" si="101"/>
        <v>3073</v>
      </c>
      <c r="AF81" s="1">
        <f t="shared" si="101"/>
        <v>3611</v>
      </c>
      <c r="AG81" s="26">
        <f t="shared" si="101"/>
        <v>1522805.54</v>
      </c>
      <c r="AH81" s="10">
        <f>SUM(AH82:AH83)</f>
        <v>2127041.0299999998</v>
      </c>
      <c r="AI81" s="1">
        <f t="shared" si="101"/>
        <v>895</v>
      </c>
      <c r="AJ81" s="1">
        <f t="shared" si="101"/>
        <v>951</v>
      </c>
      <c r="AK81" s="26">
        <f t="shared" si="101"/>
        <v>2131308.79</v>
      </c>
      <c r="AL81" s="10">
        <f>SUM(AL82:AL83)</f>
        <v>2836481.86</v>
      </c>
      <c r="AM81" s="1">
        <f t="shared" si="101"/>
        <v>1089</v>
      </c>
      <c r="AN81" s="1">
        <f t="shared" si="101"/>
        <v>1156</v>
      </c>
      <c r="AO81" s="26">
        <f t="shared" si="101"/>
        <v>2494564.08</v>
      </c>
      <c r="AP81" s="10">
        <f>SUM(AP82:AP83)</f>
        <v>1481242.84</v>
      </c>
      <c r="AQ81" s="1">
        <f t="shared" si="101"/>
        <v>1377</v>
      </c>
      <c r="AR81" s="1">
        <f t="shared" si="101"/>
        <v>1504</v>
      </c>
      <c r="AS81" s="10">
        <v>7091100</v>
      </c>
      <c r="AT81" s="26">
        <f t="shared" ref="AT81:BI81" si="102">SUM(AT82:AT83)</f>
        <v>5627491.1500000004</v>
      </c>
      <c r="AU81" s="26">
        <f t="shared" si="102"/>
        <v>5402200.3500000006</v>
      </c>
      <c r="AV81" s="1">
        <f t="shared" si="102"/>
        <v>2680</v>
      </c>
      <c r="AW81" s="1">
        <f t="shared" si="102"/>
        <v>3076</v>
      </c>
      <c r="AX81" s="26">
        <f t="shared" si="102"/>
        <v>1572194.38</v>
      </c>
      <c r="AY81" s="10">
        <f>SUM(AY82:AY83)</f>
        <v>2870225.34</v>
      </c>
      <c r="AZ81" s="1">
        <f t="shared" si="102"/>
        <v>946</v>
      </c>
      <c r="BA81" s="1">
        <f t="shared" si="102"/>
        <v>989</v>
      </c>
      <c r="BB81" s="26">
        <f t="shared" si="102"/>
        <v>1748530.91</v>
      </c>
      <c r="BC81" s="10">
        <f>SUM(BC82:BC83)</f>
        <v>1620466.36</v>
      </c>
      <c r="BD81" s="1">
        <f t="shared" si="102"/>
        <v>1010</v>
      </c>
      <c r="BE81" s="1">
        <f t="shared" si="102"/>
        <v>1075</v>
      </c>
      <c r="BF81" s="26">
        <f t="shared" si="102"/>
        <v>2306765.86</v>
      </c>
      <c r="BG81" s="10">
        <f>SUM(BG82:BG83)</f>
        <v>911508.65</v>
      </c>
      <c r="BH81" s="1">
        <f t="shared" si="102"/>
        <v>938</v>
      </c>
      <c r="BI81" s="1">
        <f t="shared" si="102"/>
        <v>1012</v>
      </c>
      <c r="BJ81" s="10">
        <v>6857860</v>
      </c>
      <c r="BK81" s="26">
        <f t="shared" ref="BK81:BZ81" si="103">SUM(BK82:BK83)</f>
        <v>7421582.75</v>
      </c>
      <c r="BL81" s="26">
        <f t="shared" si="103"/>
        <v>8943202.6699999999</v>
      </c>
      <c r="BM81" s="1">
        <f t="shared" si="103"/>
        <v>3272</v>
      </c>
      <c r="BN81" s="1">
        <f t="shared" si="103"/>
        <v>3842</v>
      </c>
      <c r="BO81" s="10">
        <f t="shared" si="103"/>
        <v>1606121.95</v>
      </c>
      <c r="BP81" s="10">
        <f>SUM(BP82:BP83)</f>
        <v>2642470</v>
      </c>
      <c r="BQ81" s="2">
        <f t="shared" si="103"/>
        <v>763</v>
      </c>
      <c r="BR81" s="2">
        <f t="shared" si="103"/>
        <v>811</v>
      </c>
      <c r="BS81" s="10">
        <f t="shared" si="103"/>
        <v>2384601.11</v>
      </c>
      <c r="BT81" s="10">
        <f>SUM(BT82:BT83)</f>
        <v>2615507.17</v>
      </c>
      <c r="BU81" s="2">
        <f t="shared" si="103"/>
        <v>1003</v>
      </c>
      <c r="BV81" s="2">
        <f t="shared" si="103"/>
        <v>1103</v>
      </c>
      <c r="BW81" s="10">
        <f t="shared" si="103"/>
        <v>3430859.69</v>
      </c>
      <c r="BX81" s="10">
        <f>SUM(BX82:BX83)</f>
        <v>3685225.5</v>
      </c>
      <c r="BY81" s="2">
        <f t="shared" si="103"/>
        <v>1748</v>
      </c>
      <c r="BZ81" s="2">
        <f t="shared" si="103"/>
        <v>1928</v>
      </c>
      <c r="CA81" s="27"/>
    </row>
    <row r="82" spans="1:79" s="35" customFormat="1" ht="42" customHeight="1" x14ac:dyDescent="0.25">
      <c r="A82" s="33"/>
      <c r="B82" s="11" t="s">
        <v>67</v>
      </c>
      <c r="C82" s="9"/>
      <c r="D82" s="9"/>
      <c r="E82" s="9">
        <v>26875000</v>
      </c>
      <c r="F82" s="30"/>
      <c r="G82" s="30">
        <f>L82+AC82+AT82+BK82</f>
        <v>26874144.590000004</v>
      </c>
      <c r="H82" s="30">
        <f>M82+AD82+AU82+BL82</f>
        <v>26869301.770000003</v>
      </c>
      <c r="I82" s="4">
        <v>10454</v>
      </c>
      <c r="J82" s="4">
        <f>O82+AF82+AW82+BN82</f>
        <v>15107</v>
      </c>
      <c r="K82" s="31"/>
      <c r="L82" s="32">
        <f>P82+T82+X82</f>
        <v>7680592.2800000003</v>
      </c>
      <c r="M82" s="32">
        <f>Q82+U82+Y82</f>
        <v>6084173.0200000005</v>
      </c>
      <c r="N82" s="4">
        <v>3786</v>
      </c>
      <c r="O82" s="4">
        <f>S82+W82+AA82</f>
        <v>4578</v>
      </c>
      <c r="P82" s="30">
        <v>2115318.19</v>
      </c>
      <c r="Q82" s="30">
        <v>1452297.04</v>
      </c>
      <c r="R82" s="4">
        <v>1598</v>
      </c>
      <c r="S82" s="4">
        <v>1745</v>
      </c>
      <c r="T82" s="30">
        <v>2630563.46</v>
      </c>
      <c r="U82" s="30">
        <v>2885991.93</v>
      </c>
      <c r="V82" s="4">
        <v>1266</v>
      </c>
      <c r="W82" s="4">
        <v>1373</v>
      </c>
      <c r="X82" s="30">
        <v>2934710.63</v>
      </c>
      <c r="Y82" s="30">
        <v>1745884.05</v>
      </c>
      <c r="Z82" s="4">
        <v>1332</v>
      </c>
      <c r="AA82" s="4">
        <v>1460</v>
      </c>
      <c r="AB82" s="31"/>
      <c r="AC82" s="32">
        <f>AG82+AK82+AO82</f>
        <v>6146158.4100000001</v>
      </c>
      <c r="AD82" s="32">
        <f>AH82+AL82+AP82</f>
        <v>6442245.7299999995</v>
      </c>
      <c r="AE82" s="4">
        <v>3073</v>
      </c>
      <c r="AF82" s="4">
        <f>AJ82+AN82+AR82</f>
        <v>3611</v>
      </c>
      <c r="AG82" s="30">
        <v>1521125.54</v>
      </c>
      <c r="AH82" s="9">
        <v>2125361.0299999998</v>
      </c>
      <c r="AI82" s="4">
        <v>895</v>
      </c>
      <c r="AJ82" s="4">
        <v>951</v>
      </c>
      <c r="AK82" s="30">
        <v>2131308.79</v>
      </c>
      <c r="AL82" s="9">
        <v>2836481.86</v>
      </c>
      <c r="AM82" s="4">
        <v>1089</v>
      </c>
      <c r="AN82" s="4">
        <v>1156</v>
      </c>
      <c r="AO82" s="30">
        <v>2493724.08</v>
      </c>
      <c r="AP82" s="9">
        <v>1480402.84</v>
      </c>
      <c r="AQ82" s="4">
        <v>1377</v>
      </c>
      <c r="AR82" s="4">
        <v>1504</v>
      </c>
      <c r="AS82" s="31"/>
      <c r="AT82" s="32">
        <f>AX82+BB82+BF82</f>
        <v>5626231.1500000004</v>
      </c>
      <c r="AU82" s="32">
        <f>AY82+BC82+BG82</f>
        <v>5400940.3500000006</v>
      </c>
      <c r="AV82" s="4">
        <v>2680</v>
      </c>
      <c r="AW82" s="4">
        <f>BA82+BE82+BI82</f>
        <v>3076</v>
      </c>
      <c r="AX82" s="30">
        <v>1572194.38</v>
      </c>
      <c r="AY82" s="9">
        <v>2870225.34</v>
      </c>
      <c r="AZ82" s="4">
        <v>946</v>
      </c>
      <c r="BA82" s="4">
        <v>989</v>
      </c>
      <c r="BB82" s="30">
        <v>1748530.91</v>
      </c>
      <c r="BC82" s="9">
        <v>1620466.36</v>
      </c>
      <c r="BD82" s="4">
        <v>1010</v>
      </c>
      <c r="BE82" s="4">
        <v>1075</v>
      </c>
      <c r="BF82" s="30">
        <v>2305505.86</v>
      </c>
      <c r="BG82" s="9">
        <v>910248.65</v>
      </c>
      <c r="BH82" s="4">
        <v>938</v>
      </c>
      <c r="BI82" s="4">
        <v>1012</v>
      </c>
      <c r="BJ82" s="31"/>
      <c r="BK82" s="32">
        <f>BO82+BS82+BW82</f>
        <v>7421162.75</v>
      </c>
      <c r="BL82" s="32">
        <f>BP82+BT82+BX82</f>
        <v>8941942.6699999999</v>
      </c>
      <c r="BM82" s="4">
        <v>3272</v>
      </c>
      <c r="BN82" s="4">
        <f>BR82+BV82+BZ82</f>
        <v>3842</v>
      </c>
      <c r="BO82" s="9">
        <v>1605701.95</v>
      </c>
      <c r="BP82" s="9">
        <v>2642050</v>
      </c>
      <c r="BQ82" s="5">
        <v>763</v>
      </c>
      <c r="BR82" s="5">
        <v>811</v>
      </c>
      <c r="BS82" s="9">
        <v>2384601.11</v>
      </c>
      <c r="BT82" s="9">
        <v>2615507.17</v>
      </c>
      <c r="BU82" s="5">
        <v>1003</v>
      </c>
      <c r="BV82" s="5">
        <v>1103</v>
      </c>
      <c r="BW82" s="9">
        <v>3430859.69</v>
      </c>
      <c r="BX82" s="9">
        <v>3684385.5</v>
      </c>
      <c r="BY82" s="5">
        <v>1748</v>
      </c>
      <c r="BZ82" s="5">
        <v>1928</v>
      </c>
      <c r="CA82" s="27"/>
    </row>
    <row r="83" spans="1:79" s="35" customFormat="1" ht="42" customHeight="1" x14ac:dyDescent="0.25">
      <c r="A83" s="33"/>
      <c r="B83" s="11" t="s">
        <v>68</v>
      </c>
      <c r="C83" s="9"/>
      <c r="D83" s="9"/>
      <c r="E83" s="9">
        <v>5000</v>
      </c>
      <c r="F83" s="30"/>
      <c r="G83" s="30">
        <f>L83+AC83+AT83+BK83</f>
        <v>4200</v>
      </c>
      <c r="H83" s="30">
        <f>M83+AD83+AU83+BL83</f>
        <v>5040</v>
      </c>
      <c r="I83" s="4"/>
      <c r="J83" s="4">
        <f>O83+AF83+AW83+BN83</f>
        <v>0</v>
      </c>
      <c r="K83" s="31"/>
      <c r="L83" s="32">
        <f>P83+T83+X83</f>
        <v>0</v>
      </c>
      <c r="M83" s="32">
        <f>Q83+U83+Y83</f>
        <v>0</v>
      </c>
      <c r="N83" s="4"/>
      <c r="O83" s="4"/>
      <c r="P83" s="30"/>
      <c r="Q83" s="30"/>
      <c r="R83" s="4"/>
      <c r="S83" s="4"/>
      <c r="T83" s="30"/>
      <c r="U83" s="30"/>
      <c r="V83" s="4"/>
      <c r="W83" s="4"/>
      <c r="X83" s="30"/>
      <c r="Y83" s="30"/>
      <c r="Z83" s="4"/>
      <c r="AA83" s="4"/>
      <c r="AB83" s="31"/>
      <c r="AC83" s="32">
        <f>AG83+AK83+AO83</f>
        <v>2520</v>
      </c>
      <c r="AD83" s="32">
        <f>AH83+AL83+AP83</f>
        <v>2520</v>
      </c>
      <c r="AE83" s="4"/>
      <c r="AF83" s="4"/>
      <c r="AG83" s="30">
        <v>1680</v>
      </c>
      <c r="AH83" s="9">
        <v>1680</v>
      </c>
      <c r="AI83" s="4"/>
      <c r="AJ83" s="4"/>
      <c r="AK83" s="30"/>
      <c r="AL83" s="9"/>
      <c r="AM83" s="4"/>
      <c r="AN83" s="4"/>
      <c r="AO83" s="30">
        <v>840</v>
      </c>
      <c r="AP83" s="9">
        <f>420+420</f>
        <v>840</v>
      </c>
      <c r="AQ83" s="4"/>
      <c r="AR83" s="4"/>
      <c r="AS83" s="31"/>
      <c r="AT83" s="32">
        <f>AX83+BB83+BF83</f>
        <v>1260</v>
      </c>
      <c r="AU83" s="32">
        <f>AY83+BC83+BG83</f>
        <v>1260</v>
      </c>
      <c r="AV83" s="4"/>
      <c r="AW83" s="4">
        <f>BA83+BE83+BI83</f>
        <v>0</v>
      </c>
      <c r="AX83" s="30">
        <v>0</v>
      </c>
      <c r="AY83" s="9"/>
      <c r="AZ83" s="4"/>
      <c r="BA83" s="4"/>
      <c r="BB83" s="30"/>
      <c r="BC83" s="9"/>
      <c r="BD83" s="4"/>
      <c r="BE83" s="4"/>
      <c r="BF83" s="30">
        <v>1260</v>
      </c>
      <c r="BG83" s="9">
        <f>420+420+420</f>
        <v>1260</v>
      </c>
      <c r="BH83" s="4"/>
      <c r="BI83" s="4"/>
      <c r="BJ83" s="31"/>
      <c r="BK83" s="32">
        <f>BO83+BS83+BW83</f>
        <v>420</v>
      </c>
      <c r="BL83" s="32">
        <f>BP83+BT83+BX83</f>
        <v>1260</v>
      </c>
      <c r="BM83" s="4"/>
      <c r="BN83" s="4"/>
      <c r="BO83" s="9">
        <v>420</v>
      </c>
      <c r="BP83" s="9">
        <v>420</v>
      </c>
      <c r="BQ83" s="5"/>
      <c r="BR83" s="5"/>
      <c r="BS83" s="9"/>
      <c r="BT83" s="9"/>
      <c r="BU83" s="5"/>
      <c r="BV83" s="5"/>
      <c r="BW83" s="9"/>
      <c r="BX83" s="9">
        <f>420+420</f>
        <v>840</v>
      </c>
      <c r="BY83" s="5"/>
      <c r="BZ83" s="5"/>
      <c r="CA83" s="27"/>
    </row>
    <row r="84" spans="1:79" s="28" customFormat="1" ht="42" customHeight="1" x14ac:dyDescent="0.2">
      <c r="A84" s="22" t="s">
        <v>69</v>
      </c>
      <c r="B84" s="23" t="s">
        <v>70</v>
      </c>
      <c r="C84" s="10">
        <v>1000000</v>
      </c>
      <c r="D84" s="10">
        <v>698500</v>
      </c>
      <c r="E84" s="10">
        <f>SUM(E85:E86)</f>
        <v>698500</v>
      </c>
      <c r="F84" s="25">
        <f>K84+AB84+AS84+BJ84</f>
        <v>698500</v>
      </c>
      <c r="G84" s="26">
        <f t="shared" ref="G84:AR84" si="104">SUM(G85:G86)</f>
        <v>698410.28</v>
      </c>
      <c r="H84" s="26">
        <f t="shared" si="104"/>
        <v>698410.28</v>
      </c>
      <c r="I84" s="1">
        <f t="shared" si="104"/>
        <v>18169</v>
      </c>
      <c r="J84" s="1">
        <f>SUM(J85:J86)</f>
        <v>18632</v>
      </c>
      <c r="K84" s="10">
        <v>185000</v>
      </c>
      <c r="L84" s="26">
        <f t="shared" si="104"/>
        <v>135284.4</v>
      </c>
      <c r="M84" s="26">
        <f t="shared" si="104"/>
        <v>135284.4</v>
      </c>
      <c r="N84" s="1">
        <f t="shared" si="104"/>
        <v>3675</v>
      </c>
      <c r="O84" s="1">
        <f t="shared" si="104"/>
        <v>3709</v>
      </c>
      <c r="P84" s="26">
        <f t="shared" si="104"/>
        <v>58432.97</v>
      </c>
      <c r="Q84" s="26">
        <f t="shared" si="104"/>
        <v>58432.97</v>
      </c>
      <c r="R84" s="1">
        <f t="shared" si="104"/>
        <v>1692</v>
      </c>
      <c r="S84" s="1">
        <f t="shared" si="104"/>
        <v>1707</v>
      </c>
      <c r="T84" s="26">
        <f t="shared" si="104"/>
        <v>133.47</v>
      </c>
      <c r="U84" s="26">
        <f t="shared" si="104"/>
        <v>0</v>
      </c>
      <c r="V84" s="1">
        <f t="shared" si="104"/>
        <v>1</v>
      </c>
      <c r="W84" s="1">
        <f t="shared" si="104"/>
        <v>1</v>
      </c>
      <c r="X84" s="26">
        <f t="shared" si="104"/>
        <v>76717.959999999992</v>
      </c>
      <c r="Y84" s="26">
        <f t="shared" si="104"/>
        <v>76851.429999999993</v>
      </c>
      <c r="Z84" s="1">
        <f t="shared" si="104"/>
        <v>1994</v>
      </c>
      <c r="AA84" s="1">
        <f t="shared" si="104"/>
        <v>2001</v>
      </c>
      <c r="AB84" s="10">
        <v>315000</v>
      </c>
      <c r="AC84" s="26">
        <f t="shared" ref="AC84:AH84" si="105">SUM(AC85:AC86)</f>
        <v>215134.16999999998</v>
      </c>
      <c r="AD84" s="26">
        <f t="shared" si="105"/>
        <v>215000.7</v>
      </c>
      <c r="AE84" s="1">
        <f t="shared" si="105"/>
        <v>5672</v>
      </c>
      <c r="AF84" s="1">
        <f t="shared" si="105"/>
        <v>5734</v>
      </c>
      <c r="AG84" s="26">
        <f t="shared" si="105"/>
        <v>73000.95</v>
      </c>
      <c r="AH84" s="10">
        <f t="shared" si="105"/>
        <v>72770.47</v>
      </c>
      <c r="AI84" s="1">
        <f t="shared" si="104"/>
        <v>1948</v>
      </c>
      <c r="AJ84" s="1">
        <f t="shared" si="104"/>
        <v>1970</v>
      </c>
      <c r="AK84" s="26">
        <f t="shared" si="104"/>
        <v>61472.090000000004</v>
      </c>
      <c r="AL84" s="10">
        <f t="shared" si="104"/>
        <v>61702.570000000007</v>
      </c>
      <c r="AM84" s="1">
        <f t="shared" si="104"/>
        <v>1709</v>
      </c>
      <c r="AN84" s="1">
        <f t="shared" si="104"/>
        <v>1720</v>
      </c>
      <c r="AO84" s="26">
        <f t="shared" si="104"/>
        <v>80661.13</v>
      </c>
      <c r="AP84" s="10">
        <f t="shared" si="104"/>
        <v>80527.66</v>
      </c>
      <c r="AQ84" s="1">
        <f t="shared" si="104"/>
        <v>2034</v>
      </c>
      <c r="AR84" s="1">
        <f t="shared" si="104"/>
        <v>2044</v>
      </c>
      <c r="AS84" s="10">
        <v>185000</v>
      </c>
      <c r="AT84" s="26">
        <f t="shared" ref="AT84:BZ84" si="106">SUM(AT85:AT86)</f>
        <v>107204.35</v>
      </c>
      <c r="AU84" s="26">
        <f t="shared" si="106"/>
        <v>107204.35</v>
      </c>
      <c r="AV84" s="1">
        <f t="shared" si="106"/>
        <v>2757</v>
      </c>
      <c r="AW84" s="1">
        <f t="shared" si="106"/>
        <v>2780</v>
      </c>
      <c r="AX84" s="26">
        <f t="shared" si="106"/>
        <v>78399.13</v>
      </c>
      <c r="AY84" s="10">
        <f t="shared" si="106"/>
        <v>78532.600000000006</v>
      </c>
      <c r="AZ84" s="1">
        <f t="shared" si="106"/>
        <v>2047</v>
      </c>
      <c r="BA84" s="1">
        <f t="shared" si="106"/>
        <v>2063</v>
      </c>
      <c r="BB84" s="26">
        <f t="shared" si="106"/>
        <v>251.66</v>
      </c>
      <c r="BC84" s="10">
        <f t="shared" si="106"/>
        <v>251.66</v>
      </c>
      <c r="BD84" s="1">
        <f t="shared" si="106"/>
        <v>2</v>
      </c>
      <c r="BE84" s="1">
        <f t="shared" si="106"/>
        <v>2</v>
      </c>
      <c r="BF84" s="26">
        <f t="shared" si="106"/>
        <v>28553.56</v>
      </c>
      <c r="BG84" s="10">
        <f t="shared" si="106"/>
        <v>28420.09</v>
      </c>
      <c r="BH84" s="1">
        <f t="shared" si="106"/>
        <v>711</v>
      </c>
      <c r="BI84" s="1">
        <f t="shared" si="106"/>
        <v>715</v>
      </c>
      <c r="BJ84" s="10">
        <v>13500</v>
      </c>
      <c r="BK84" s="26">
        <f t="shared" si="106"/>
        <v>240787.36</v>
      </c>
      <c r="BL84" s="26">
        <f t="shared" si="106"/>
        <v>240920.83</v>
      </c>
      <c r="BM84" s="1">
        <f>SUM(BM85:BM86)</f>
        <v>6342</v>
      </c>
      <c r="BN84" s="1">
        <f>SUM(BN85:BN86)</f>
        <v>6409</v>
      </c>
      <c r="BO84" s="10">
        <f t="shared" si="106"/>
        <v>125375.14</v>
      </c>
      <c r="BP84" s="10">
        <f t="shared" si="106"/>
        <v>117002.78</v>
      </c>
      <c r="BQ84" s="2">
        <f t="shared" si="106"/>
        <v>3168</v>
      </c>
      <c r="BR84" s="2">
        <f t="shared" si="106"/>
        <v>3191</v>
      </c>
      <c r="BS84" s="10">
        <f t="shared" si="106"/>
        <v>73321.36</v>
      </c>
      <c r="BT84" s="10">
        <f t="shared" si="106"/>
        <v>81255.09</v>
      </c>
      <c r="BU84" s="2">
        <f>SUM(BU85:BU86)</f>
        <v>2032</v>
      </c>
      <c r="BV84" s="2">
        <f>SUM(BV85:BV86)</f>
        <v>2045</v>
      </c>
      <c r="BW84" s="10">
        <f t="shared" si="106"/>
        <v>42090.86</v>
      </c>
      <c r="BX84" s="10">
        <f t="shared" si="106"/>
        <v>42662.96</v>
      </c>
      <c r="BY84" s="2">
        <f t="shared" si="106"/>
        <v>1169</v>
      </c>
      <c r="BZ84" s="2">
        <f t="shared" si="106"/>
        <v>1173</v>
      </c>
      <c r="CA84" s="27"/>
    </row>
    <row r="85" spans="1:79" s="35" customFormat="1" ht="42" customHeight="1" x14ac:dyDescent="0.25">
      <c r="A85" s="33"/>
      <c r="B85" s="36" t="s">
        <v>71</v>
      </c>
      <c r="C85" s="10"/>
      <c r="D85" s="10"/>
      <c r="E85" s="9">
        <v>578800</v>
      </c>
      <c r="F85" s="30"/>
      <c r="G85" s="30">
        <f>L85+AC85+AT85+BK85</f>
        <v>578774.60000000009</v>
      </c>
      <c r="H85" s="30">
        <f>M85+AD85+AU85+BL85</f>
        <v>578774.60000000009</v>
      </c>
      <c r="I85" s="4">
        <v>16974</v>
      </c>
      <c r="J85" s="4">
        <f>O85+AF85+AW85+BN85</f>
        <v>17308</v>
      </c>
      <c r="K85" s="31"/>
      <c r="L85" s="32">
        <f>P85+T85+X85</f>
        <v>116033.25</v>
      </c>
      <c r="M85" s="32">
        <f>Q85+U85+Y85</f>
        <v>116033.25</v>
      </c>
      <c r="N85" s="4">
        <v>3469</v>
      </c>
      <c r="O85" s="4">
        <f>S85+W85+AA85</f>
        <v>3482</v>
      </c>
      <c r="P85" s="30">
        <v>48722.3</v>
      </c>
      <c r="Q85" s="30">
        <v>48722.3</v>
      </c>
      <c r="R85" s="4">
        <v>1584</v>
      </c>
      <c r="S85" s="4">
        <v>1585</v>
      </c>
      <c r="T85" s="30">
        <v>0</v>
      </c>
      <c r="U85" s="30"/>
      <c r="V85" s="4">
        <v>0</v>
      </c>
      <c r="W85" s="4">
        <v>0</v>
      </c>
      <c r="X85" s="30">
        <v>67310.95</v>
      </c>
      <c r="Y85" s="30">
        <v>67310.95</v>
      </c>
      <c r="Z85" s="4">
        <v>1897</v>
      </c>
      <c r="AA85" s="4">
        <v>1897</v>
      </c>
      <c r="AB85" s="31"/>
      <c r="AC85" s="32">
        <f>AG85+AK85+AO85</f>
        <v>170861.15</v>
      </c>
      <c r="AD85" s="32">
        <f>AH85+AL85+AP85</f>
        <v>170861.15</v>
      </c>
      <c r="AE85" s="4">
        <v>5276</v>
      </c>
      <c r="AF85" s="4">
        <f>AJ85+AN85+AR85</f>
        <v>5292</v>
      </c>
      <c r="AG85" s="30">
        <v>58961.9</v>
      </c>
      <c r="AH85" s="9">
        <v>58961.9</v>
      </c>
      <c r="AI85" s="4">
        <v>1801</v>
      </c>
      <c r="AJ85" s="4">
        <v>1802</v>
      </c>
      <c r="AK85" s="30">
        <v>48138.98</v>
      </c>
      <c r="AL85" s="9">
        <v>48138.98</v>
      </c>
      <c r="AM85" s="4">
        <v>1592</v>
      </c>
      <c r="AN85" s="4">
        <v>1592</v>
      </c>
      <c r="AO85" s="30">
        <v>63760.27</v>
      </c>
      <c r="AP85" s="9">
        <v>63760.27</v>
      </c>
      <c r="AQ85" s="4">
        <v>1897</v>
      </c>
      <c r="AR85" s="4">
        <v>1898</v>
      </c>
      <c r="AS85" s="31"/>
      <c r="AT85" s="32">
        <f>AX85+BB85+BF85</f>
        <v>89149.58</v>
      </c>
      <c r="AU85" s="32">
        <f>AY85+BC85+BG85</f>
        <v>89149.58</v>
      </c>
      <c r="AV85" s="4">
        <v>2601</v>
      </c>
      <c r="AW85" s="4">
        <f>BA85+BE85+BI85</f>
        <v>2606</v>
      </c>
      <c r="AX85" s="30">
        <v>65764.61</v>
      </c>
      <c r="AY85" s="9">
        <v>65764.61</v>
      </c>
      <c r="AZ85" s="4">
        <v>1931</v>
      </c>
      <c r="BA85" s="4">
        <v>1933</v>
      </c>
      <c r="BB85" s="30">
        <v>0</v>
      </c>
      <c r="BC85" s="9"/>
      <c r="BD85" s="4">
        <v>0</v>
      </c>
      <c r="BE85" s="4">
        <v>0</v>
      </c>
      <c r="BF85" s="30">
        <v>23384.97</v>
      </c>
      <c r="BG85" s="9">
        <v>23384.97</v>
      </c>
      <c r="BH85" s="4">
        <v>673</v>
      </c>
      <c r="BI85" s="4">
        <v>673</v>
      </c>
      <c r="BJ85" s="31"/>
      <c r="BK85" s="32">
        <f>BO85+BS85+BW85</f>
        <v>202730.62</v>
      </c>
      <c r="BL85" s="32">
        <f>BP85+BT85+BX85</f>
        <v>202730.62</v>
      </c>
      <c r="BM85" s="4">
        <v>5894</v>
      </c>
      <c r="BN85" s="4">
        <f>BR85+BV85+BZ85</f>
        <v>5928</v>
      </c>
      <c r="BO85" s="9">
        <v>106597.45</v>
      </c>
      <c r="BP85" s="9">
        <v>106597.45</v>
      </c>
      <c r="BQ85" s="5">
        <v>2963</v>
      </c>
      <c r="BR85" s="5">
        <v>2967</v>
      </c>
      <c r="BS85" s="9">
        <v>59601.32</v>
      </c>
      <c r="BT85" s="9">
        <v>59601.32</v>
      </c>
      <c r="BU85" s="5">
        <v>1860</v>
      </c>
      <c r="BV85" s="5">
        <v>1867</v>
      </c>
      <c r="BW85" s="9">
        <v>36531.85</v>
      </c>
      <c r="BX85" s="9">
        <v>36531.85</v>
      </c>
      <c r="BY85" s="5">
        <v>1093</v>
      </c>
      <c r="BZ85" s="5">
        <v>1094</v>
      </c>
      <c r="CA85" s="27"/>
    </row>
    <row r="86" spans="1:79" s="35" customFormat="1" ht="42" customHeight="1" x14ac:dyDescent="0.25">
      <c r="A86" s="33"/>
      <c r="B86" s="36" t="s">
        <v>72</v>
      </c>
      <c r="C86" s="10"/>
      <c r="D86" s="10"/>
      <c r="E86" s="9">
        <v>119700</v>
      </c>
      <c r="F86" s="30"/>
      <c r="G86" s="30">
        <f>L86+AC86+AT86+BK86</f>
        <v>119635.68</v>
      </c>
      <c r="H86" s="30">
        <f>M86+AD86+AU86+BL86</f>
        <v>119635.68</v>
      </c>
      <c r="I86" s="4">
        <v>1195</v>
      </c>
      <c r="J86" s="4">
        <f>O86+AF86+AW86+BN86</f>
        <v>1324</v>
      </c>
      <c r="K86" s="31"/>
      <c r="L86" s="32">
        <f>P86+T86+X86</f>
        <v>19251.150000000001</v>
      </c>
      <c r="M86" s="32">
        <f>Q86+U86+Y86</f>
        <v>19251.150000000001</v>
      </c>
      <c r="N86" s="4">
        <v>206</v>
      </c>
      <c r="O86" s="4">
        <f>S86+W86+AA86</f>
        <v>227</v>
      </c>
      <c r="P86" s="30">
        <v>9710.67</v>
      </c>
      <c r="Q86" s="30">
        <v>9710.67</v>
      </c>
      <c r="R86" s="4">
        <v>108</v>
      </c>
      <c r="S86" s="4">
        <v>122</v>
      </c>
      <c r="T86" s="30">
        <v>133.47</v>
      </c>
      <c r="U86" s="30"/>
      <c r="V86" s="4">
        <v>1</v>
      </c>
      <c r="W86" s="4">
        <v>1</v>
      </c>
      <c r="X86" s="30">
        <v>9407.01</v>
      </c>
      <c r="Y86" s="30">
        <v>9540.48</v>
      </c>
      <c r="Z86" s="4">
        <v>97</v>
      </c>
      <c r="AA86" s="4">
        <v>104</v>
      </c>
      <c r="AB86" s="31"/>
      <c r="AC86" s="32">
        <f>AG86+AK86+AO86</f>
        <v>44273.020000000004</v>
      </c>
      <c r="AD86" s="32">
        <f>AH86+AL86+AP86</f>
        <v>44139.55</v>
      </c>
      <c r="AE86" s="4">
        <v>396</v>
      </c>
      <c r="AF86" s="4">
        <f>AJ86+AN86+AR86</f>
        <v>442</v>
      </c>
      <c r="AG86" s="30">
        <v>14039.05</v>
      </c>
      <c r="AH86" s="9">
        <v>13808.57</v>
      </c>
      <c r="AI86" s="4">
        <v>147</v>
      </c>
      <c r="AJ86" s="4">
        <v>168</v>
      </c>
      <c r="AK86" s="30">
        <v>13333.11</v>
      </c>
      <c r="AL86" s="9">
        <v>13563.59</v>
      </c>
      <c r="AM86" s="4">
        <v>117</v>
      </c>
      <c r="AN86" s="4">
        <v>128</v>
      </c>
      <c r="AO86" s="30">
        <v>16900.86</v>
      </c>
      <c r="AP86" s="9">
        <v>16767.39</v>
      </c>
      <c r="AQ86" s="4">
        <v>137</v>
      </c>
      <c r="AR86" s="4">
        <v>146</v>
      </c>
      <c r="AS86" s="31"/>
      <c r="AT86" s="32">
        <f>AX86+BB86+BF86</f>
        <v>18054.77</v>
      </c>
      <c r="AU86" s="32">
        <f>AY86+BC86+BG86</f>
        <v>18054.77</v>
      </c>
      <c r="AV86" s="4">
        <v>156</v>
      </c>
      <c r="AW86" s="4">
        <f>BA86+BE86+BI86</f>
        <v>174</v>
      </c>
      <c r="AX86" s="30">
        <v>12634.52</v>
      </c>
      <c r="AY86" s="9">
        <v>12767.99</v>
      </c>
      <c r="AZ86" s="4">
        <v>116</v>
      </c>
      <c r="BA86" s="4">
        <v>130</v>
      </c>
      <c r="BB86" s="30">
        <v>251.66</v>
      </c>
      <c r="BC86" s="9">
        <v>251.66</v>
      </c>
      <c r="BD86" s="4">
        <v>2</v>
      </c>
      <c r="BE86" s="4">
        <v>2</v>
      </c>
      <c r="BF86" s="30">
        <v>5168.59</v>
      </c>
      <c r="BG86" s="9">
        <v>5035.12</v>
      </c>
      <c r="BH86" s="4">
        <v>38</v>
      </c>
      <c r="BI86" s="4">
        <v>42</v>
      </c>
      <c r="BJ86" s="31"/>
      <c r="BK86" s="32">
        <f>BO86+BS86+BW86</f>
        <v>38056.74</v>
      </c>
      <c r="BL86" s="32">
        <f>BP86+BT86+BX86</f>
        <v>38190.21</v>
      </c>
      <c r="BM86" s="4">
        <v>448</v>
      </c>
      <c r="BN86" s="4">
        <f>BR86+BV86+BZ86</f>
        <v>481</v>
      </c>
      <c r="BO86" s="9">
        <v>18777.689999999999</v>
      </c>
      <c r="BP86" s="9">
        <v>10405.33</v>
      </c>
      <c r="BQ86" s="5">
        <v>205</v>
      </c>
      <c r="BR86" s="5">
        <v>224</v>
      </c>
      <c r="BS86" s="9">
        <v>13720.04</v>
      </c>
      <c r="BT86" s="9">
        <v>21653.77</v>
      </c>
      <c r="BU86" s="5">
        <v>172</v>
      </c>
      <c r="BV86" s="5">
        <v>178</v>
      </c>
      <c r="BW86" s="9">
        <v>5559.01</v>
      </c>
      <c r="BX86" s="9">
        <v>6131.11</v>
      </c>
      <c r="BY86" s="5">
        <v>76</v>
      </c>
      <c r="BZ86" s="5">
        <v>79</v>
      </c>
      <c r="CA86" s="27"/>
    </row>
    <row r="87" spans="1:79" s="35" customFormat="1" ht="42" customHeight="1" x14ac:dyDescent="0.25">
      <c r="A87" s="22" t="s">
        <v>8</v>
      </c>
      <c r="B87" s="51" t="s">
        <v>73</v>
      </c>
      <c r="C87" s="10">
        <v>10000000</v>
      </c>
      <c r="D87" s="10">
        <v>8074600</v>
      </c>
      <c r="E87" s="10">
        <v>8042700</v>
      </c>
      <c r="F87" s="24">
        <f>K87+AB87+AS87+BJ87</f>
        <v>8074600</v>
      </c>
      <c r="G87" s="10">
        <f t="shared" ref="G87:BR87" si="107">SUM(G88:G93)</f>
        <v>0</v>
      </c>
      <c r="H87" s="10">
        <f t="shared" si="107"/>
        <v>7616866.4300000006</v>
      </c>
      <c r="I87" s="2">
        <f t="shared" si="107"/>
        <v>0</v>
      </c>
      <c r="J87" s="2">
        <f t="shared" si="107"/>
        <v>0</v>
      </c>
      <c r="K87" s="10">
        <v>1147500</v>
      </c>
      <c r="L87" s="10">
        <f t="shared" si="107"/>
        <v>0</v>
      </c>
      <c r="M87" s="10">
        <f t="shared" si="107"/>
        <v>19999.949999999997</v>
      </c>
      <c r="N87" s="2">
        <f>SUM(N88:N93)</f>
        <v>0</v>
      </c>
      <c r="O87" s="2">
        <f>SUM(O88:O93)</f>
        <v>0</v>
      </c>
      <c r="P87" s="10">
        <f>SUM(P88:P93)</f>
        <v>0</v>
      </c>
      <c r="Q87" s="10">
        <f>SUM(Q88:Q93)</f>
        <v>6666.65</v>
      </c>
      <c r="R87" s="2">
        <f t="shared" si="107"/>
        <v>0</v>
      </c>
      <c r="S87" s="2">
        <f t="shared" si="107"/>
        <v>0</v>
      </c>
      <c r="T87" s="10">
        <f t="shared" si="107"/>
        <v>0</v>
      </c>
      <c r="U87" s="10">
        <f t="shared" si="107"/>
        <v>6666.65</v>
      </c>
      <c r="V87" s="2">
        <f t="shared" si="107"/>
        <v>0</v>
      </c>
      <c r="W87" s="2">
        <f t="shared" si="107"/>
        <v>0</v>
      </c>
      <c r="X87" s="10">
        <f t="shared" si="107"/>
        <v>0</v>
      </c>
      <c r="Y87" s="10">
        <f t="shared" si="107"/>
        <v>6666.65</v>
      </c>
      <c r="Z87" s="2">
        <f t="shared" si="107"/>
        <v>0</v>
      </c>
      <c r="AA87" s="2">
        <f t="shared" si="107"/>
        <v>0</v>
      </c>
      <c r="AB87" s="10">
        <v>809300</v>
      </c>
      <c r="AC87" s="10">
        <f t="shared" ref="AC87:AH87" si="108">SUM(AC88:AC93)</f>
        <v>0</v>
      </c>
      <c r="AD87" s="10">
        <f t="shared" si="108"/>
        <v>82768.33</v>
      </c>
      <c r="AE87" s="2">
        <f t="shared" si="108"/>
        <v>0</v>
      </c>
      <c r="AF87" s="2">
        <f t="shared" si="108"/>
        <v>0</v>
      </c>
      <c r="AG87" s="10">
        <f t="shared" si="108"/>
        <v>0</v>
      </c>
      <c r="AH87" s="10">
        <f t="shared" si="108"/>
        <v>7298.23</v>
      </c>
      <c r="AI87" s="2">
        <f t="shared" si="107"/>
        <v>0</v>
      </c>
      <c r="AJ87" s="2">
        <f t="shared" si="107"/>
        <v>0</v>
      </c>
      <c r="AK87" s="10">
        <f t="shared" si="107"/>
        <v>0</v>
      </c>
      <c r="AL87" s="10">
        <f t="shared" si="107"/>
        <v>67803.45</v>
      </c>
      <c r="AM87" s="2">
        <f t="shared" si="107"/>
        <v>0</v>
      </c>
      <c r="AN87" s="2">
        <f t="shared" si="107"/>
        <v>0</v>
      </c>
      <c r="AO87" s="10">
        <f t="shared" si="107"/>
        <v>0</v>
      </c>
      <c r="AP87" s="10">
        <f t="shared" si="107"/>
        <v>7666.65</v>
      </c>
      <c r="AQ87" s="2">
        <f t="shared" si="107"/>
        <v>0</v>
      </c>
      <c r="AR87" s="2">
        <f t="shared" si="107"/>
        <v>0</v>
      </c>
      <c r="AS87" s="10">
        <v>4038500</v>
      </c>
      <c r="AT87" s="10">
        <f t="shared" ref="AT87:AY87" si="109">SUM(AT88:AT93)</f>
        <v>0</v>
      </c>
      <c r="AU87" s="10">
        <f t="shared" si="109"/>
        <v>221830.27</v>
      </c>
      <c r="AV87" s="2">
        <f t="shared" si="109"/>
        <v>0</v>
      </c>
      <c r="AW87" s="2">
        <f t="shared" si="109"/>
        <v>0</v>
      </c>
      <c r="AX87" s="10">
        <f t="shared" si="109"/>
        <v>0</v>
      </c>
      <c r="AY87" s="10">
        <f t="shared" si="109"/>
        <v>112870.35</v>
      </c>
      <c r="AZ87" s="2">
        <f t="shared" si="107"/>
        <v>0</v>
      </c>
      <c r="BA87" s="2">
        <f t="shared" si="107"/>
        <v>0</v>
      </c>
      <c r="BB87" s="10">
        <f t="shared" si="107"/>
        <v>0</v>
      </c>
      <c r="BC87" s="10">
        <f t="shared" si="107"/>
        <v>1033.5</v>
      </c>
      <c r="BD87" s="2">
        <f t="shared" si="107"/>
        <v>0</v>
      </c>
      <c r="BE87" s="2">
        <f t="shared" si="107"/>
        <v>0</v>
      </c>
      <c r="BF87" s="10">
        <f t="shared" si="107"/>
        <v>0</v>
      </c>
      <c r="BG87" s="10">
        <f t="shared" si="107"/>
        <v>107926.42</v>
      </c>
      <c r="BH87" s="2">
        <f t="shared" si="107"/>
        <v>0</v>
      </c>
      <c r="BI87" s="2">
        <f t="shared" si="107"/>
        <v>0</v>
      </c>
      <c r="BJ87" s="10">
        <v>2079300</v>
      </c>
      <c r="BK87" s="10">
        <f t="shared" si="107"/>
        <v>0</v>
      </c>
      <c r="BL87" s="10">
        <f t="shared" si="107"/>
        <v>7292267.8800000008</v>
      </c>
      <c r="BM87" s="2">
        <f t="shared" si="107"/>
        <v>0</v>
      </c>
      <c r="BN87" s="2">
        <f t="shared" si="107"/>
        <v>0</v>
      </c>
      <c r="BO87" s="10">
        <f t="shared" si="107"/>
        <v>0</v>
      </c>
      <c r="BP87" s="10">
        <f t="shared" si="107"/>
        <v>84013.35</v>
      </c>
      <c r="BQ87" s="2">
        <f t="shared" si="107"/>
        <v>0</v>
      </c>
      <c r="BR87" s="2">
        <f t="shared" si="107"/>
        <v>0</v>
      </c>
      <c r="BS87" s="10">
        <f t="shared" ref="BS87:BZ87" si="110">SUM(BS88:BS93)</f>
        <v>0</v>
      </c>
      <c r="BT87" s="10">
        <f>SUM(BT88:BT93)</f>
        <v>181246.58000000002</v>
      </c>
      <c r="BU87" s="2">
        <f t="shared" si="110"/>
        <v>0</v>
      </c>
      <c r="BV87" s="2">
        <f t="shared" si="110"/>
        <v>0</v>
      </c>
      <c r="BW87" s="10">
        <f t="shared" si="110"/>
        <v>0</v>
      </c>
      <c r="BX87" s="10">
        <f>SUM(BX88:BX93)</f>
        <v>7027007.9500000011</v>
      </c>
      <c r="BY87" s="2">
        <f t="shared" si="110"/>
        <v>0</v>
      </c>
      <c r="BZ87" s="2">
        <f t="shared" si="110"/>
        <v>0</v>
      </c>
      <c r="CA87" s="27"/>
    </row>
    <row r="88" spans="1:79" s="35" customFormat="1" ht="42" customHeight="1" x14ac:dyDescent="0.25">
      <c r="A88" s="33"/>
      <c r="B88" s="52" t="s">
        <v>74</v>
      </c>
      <c r="C88" s="10"/>
      <c r="D88" s="10"/>
      <c r="E88" s="9"/>
      <c r="F88" s="9"/>
      <c r="G88" s="9">
        <f t="shared" ref="G88:H93" si="111">L88+AC88+AT88+BK88</f>
        <v>0</v>
      </c>
      <c r="H88" s="9">
        <f t="shared" si="111"/>
        <v>3385562.85</v>
      </c>
      <c r="I88" s="5"/>
      <c r="J88" s="5"/>
      <c r="K88" s="31"/>
      <c r="L88" s="31">
        <f t="shared" ref="L88:M93" si="112">P88+T88+X88</f>
        <v>0</v>
      </c>
      <c r="M88" s="31">
        <f t="shared" si="112"/>
        <v>0</v>
      </c>
      <c r="N88" s="5"/>
      <c r="O88" s="5"/>
      <c r="P88" s="9"/>
      <c r="Q88" s="9"/>
      <c r="R88" s="5"/>
      <c r="S88" s="5"/>
      <c r="T88" s="9"/>
      <c r="U88" s="9"/>
      <c r="V88" s="5"/>
      <c r="W88" s="5"/>
      <c r="X88" s="9"/>
      <c r="Y88" s="9"/>
      <c r="Z88" s="5"/>
      <c r="AA88" s="5"/>
      <c r="AB88" s="31"/>
      <c r="AC88" s="31">
        <f t="shared" ref="AC88:AD93" si="113">AG88+AK88+AO88</f>
        <v>0</v>
      </c>
      <c r="AD88" s="31">
        <f t="shared" si="113"/>
        <v>0</v>
      </c>
      <c r="AE88" s="5"/>
      <c r="AF88" s="5"/>
      <c r="AG88" s="9"/>
      <c r="AH88" s="9"/>
      <c r="AI88" s="5"/>
      <c r="AJ88" s="5"/>
      <c r="AK88" s="9"/>
      <c r="AL88" s="9"/>
      <c r="AM88" s="5"/>
      <c r="AN88" s="5"/>
      <c r="AO88" s="9"/>
      <c r="AP88" s="9"/>
      <c r="AQ88" s="5"/>
      <c r="AR88" s="5"/>
      <c r="AS88" s="31"/>
      <c r="AT88" s="31">
        <f t="shared" ref="AT88:AU91" si="114">AX88+BB88+BF88</f>
        <v>0</v>
      </c>
      <c r="AU88" s="31">
        <f t="shared" si="114"/>
        <v>53689.72</v>
      </c>
      <c r="AV88" s="5"/>
      <c r="AW88" s="5">
        <f>BA88+BE88+BI88</f>
        <v>0</v>
      </c>
      <c r="AX88" s="9"/>
      <c r="AY88" s="9"/>
      <c r="AZ88" s="9"/>
      <c r="BA88" s="5"/>
      <c r="BB88" s="9"/>
      <c r="BC88" s="9"/>
      <c r="BD88" s="5"/>
      <c r="BE88" s="5"/>
      <c r="BF88" s="9"/>
      <c r="BG88" s="9">
        <f>2097.2+12000.8+36538.32+1653.4+1400</f>
        <v>53689.72</v>
      </c>
      <c r="BH88" s="5"/>
      <c r="BI88" s="5"/>
      <c r="BJ88" s="31"/>
      <c r="BK88" s="31">
        <f t="shared" ref="BK88:BL93" si="115">BO88+BS88+BW88</f>
        <v>0</v>
      </c>
      <c r="BL88" s="31">
        <f t="shared" si="115"/>
        <v>3331873.13</v>
      </c>
      <c r="BM88" s="5"/>
      <c r="BN88" s="5"/>
      <c r="BO88" s="9"/>
      <c r="BP88" s="9">
        <f>410.2+20616.4</f>
        <v>21026.600000000002</v>
      </c>
      <c r="BQ88" s="5"/>
      <c r="BR88" s="5"/>
      <c r="BS88" s="9"/>
      <c r="BT88" s="9">
        <f>10088.12+19184.76</f>
        <v>29272.879999999997</v>
      </c>
      <c r="BU88" s="5"/>
      <c r="BV88" s="5"/>
      <c r="BW88" s="9"/>
      <c r="BX88" s="9">
        <f>1764+6640.92+23396.52+648900+18900+43122.24+4974.48+82983.26+866395.06+380293.2+29739.15-19184.76+19184.76+98576.76+90791.12+53088+73645.46+331466.4+100596.6+220267.8+129424.68+76608</f>
        <v>3281573.65</v>
      </c>
      <c r="BY88" s="5"/>
      <c r="BZ88" s="5"/>
      <c r="CA88" s="27"/>
    </row>
    <row r="89" spans="1:79" s="35" customFormat="1" ht="42" customHeight="1" x14ac:dyDescent="0.25">
      <c r="A89" s="33"/>
      <c r="B89" s="52" t="s">
        <v>75</v>
      </c>
      <c r="C89" s="10"/>
      <c r="D89" s="10"/>
      <c r="E89" s="9"/>
      <c r="F89" s="9"/>
      <c r="G89" s="9">
        <f t="shared" si="111"/>
        <v>0</v>
      </c>
      <c r="H89" s="9">
        <f t="shared" si="111"/>
        <v>618559</v>
      </c>
      <c r="I89" s="5"/>
      <c r="J89" s="5"/>
      <c r="K89" s="31"/>
      <c r="L89" s="31">
        <f t="shared" si="112"/>
        <v>0</v>
      </c>
      <c r="M89" s="31">
        <f t="shared" si="112"/>
        <v>0</v>
      </c>
      <c r="N89" s="5"/>
      <c r="O89" s="5"/>
      <c r="P89" s="9"/>
      <c r="Q89" s="9"/>
      <c r="R89" s="5"/>
      <c r="S89" s="5"/>
      <c r="T89" s="9"/>
      <c r="U89" s="9"/>
      <c r="V89" s="5"/>
      <c r="W89" s="5"/>
      <c r="X89" s="9"/>
      <c r="Y89" s="9"/>
      <c r="Z89" s="5"/>
      <c r="AA89" s="5"/>
      <c r="AB89" s="31"/>
      <c r="AC89" s="31">
        <f t="shared" si="113"/>
        <v>0</v>
      </c>
      <c r="AD89" s="31">
        <f t="shared" si="113"/>
        <v>60136.800000000003</v>
      </c>
      <c r="AE89" s="5"/>
      <c r="AF89" s="5"/>
      <c r="AG89" s="9"/>
      <c r="AH89" s="9"/>
      <c r="AI89" s="5"/>
      <c r="AJ89" s="5"/>
      <c r="AK89" s="9"/>
      <c r="AL89" s="9">
        <f>1800+4816.8+31041.6+22478.4</f>
        <v>60136.800000000003</v>
      </c>
      <c r="AM89" s="5"/>
      <c r="AN89" s="5"/>
      <c r="AO89" s="9"/>
      <c r="AP89" s="9"/>
      <c r="AQ89" s="5"/>
      <c r="AR89" s="5"/>
      <c r="AS89" s="31"/>
      <c r="AT89" s="31">
        <f t="shared" si="114"/>
        <v>0</v>
      </c>
      <c r="AU89" s="31">
        <f t="shared" si="114"/>
        <v>104905.5</v>
      </c>
      <c r="AV89" s="5"/>
      <c r="AW89" s="5">
        <f>BA89+BE89+BI89</f>
        <v>0</v>
      </c>
      <c r="AX89" s="9"/>
      <c r="AY89" s="9">
        <f>56202.3</f>
        <v>56202.3</v>
      </c>
      <c r="AZ89" s="9"/>
      <c r="BA89" s="5"/>
      <c r="BB89" s="9"/>
      <c r="BC89" s="9"/>
      <c r="BD89" s="5"/>
      <c r="BE89" s="5"/>
      <c r="BF89" s="9"/>
      <c r="BG89" s="9">
        <v>48703.199999999997</v>
      </c>
      <c r="BH89" s="5"/>
      <c r="BI89" s="5"/>
      <c r="BJ89" s="31"/>
      <c r="BK89" s="31">
        <f t="shared" si="115"/>
        <v>0</v>
      </c>
      <c r="BL89" s="31">
        <f t="shared" si="115"/>
        <v>453516.7</v>
      </c>
      <c r="BM89" s="5"/>
      <c r="BN89" s="5"/>
      <c r="BO89" s="9"/>
      <c r="BP89" s="9">
        <f>1849+19260+34668</f>
        <v>55777</v>
      </c>
      <c r="BQ89" s="5"/>
      <c r="BR89" s="5"/>
      <c r="BS89" s="9"/>
      <c r="BT89" s="9"/>
      <c r="BU89" s="5"/>
      <c r="BV89" s="5"/>
      <c r="BW89" s="9"/>
      <c r="BX89" s="9">
        <f>71602.2+309990+16147.5</f>
        <v>397739.7</v>
      </c>
      <c r="BY89" s="5"/>
      <c r="BZ89" s="5"/>
      <c r="CA89" s="27"/>
    </row>
    <row r="90" spans="1:79" s="35" customFormat="1" ht="42" customHeight="1" x14ac:dyDescent="0.25">
      <c r="A90" s="33"/>
      <c r="B90" s="52" t="s">
        <v>76</v>
      </c>
      <c r="C90" s="10"/>
      <c r="D90" s="10"/>
      <c r="E90" s="9"/>
      <c r="F90" s="9"/>
      <c r="G90" s="9">
        <f t="shared" si="111"/>
        <v>0</v>
      </c>
      <c r="H90" s="9">
        <f t="shared" si="111"/>
        <v>573770.37</v>
      </c>
      <c r="I90" s="5"/>
      <c r="J90" s="5"/>
      <c r="K90" s="31"/>
      <c r="L90" s="31">
        <f t="shared" si="112"/>
        <v>0</v>
      </c>
      <c r="M90" s="31">
        <f t="shared" si="112"/>
        <v>0</v>
      </c>
      <c r="N90" s="5"/>
      <c r="O90" s="5"/>
      <c r="P90" s="9"/>
      <c r="Q90" s="9"/>
      <c r="R90" s="5"/>
      <c r="S90" s="5"/>
      <c r="T90" s="9"/>
      <c r="U90" s="9"/>
      <c r="V90" s="5"/>
      <c r="W90" s="5"/>
      <c r="X90" s="9"/>
      <c r="Y90" s="9"/>
      <c r="Z90" s="5"/>
      <c r="AA90" s="5"/>
      <c r="AB90" s="31"/>
      <c r="AC90" s="31">
        <f t="shared" si="113"/>
        <v>0</v>
      </c>
      <c r="AD90" s="31">
        <f t="shared" si="113"/>
        <v>0</v>
      </c>
      <c r="AE90" s="5"/>
      <c r="AF90" s="5"/>
      <c r="AG90" s="9"/>
      <c r="AH90" s="9"/>
      <c r="AI90" s="5"/>
      <c r="AJ90" s="5"/>
      <c r="AK90" s="9"/>
      <c r="AL90" s="9"/>
      <c r="AM90" s="5"/>
      <c r="AN90" s="5"/>
      <c r="AO90" s="9"/>
      <c r="AP90" s="9"/>
      <c r="AQ90" s="5"/>
      <c r="AR90" s="5"/>
      <c r="AS90" s="31"/>
      <c r="AT90" s="31">
        <f t="shared" si="114"/>
        <v>0</v>
      </c>
      <c r="AU90" s="31">
        <f t="shared" si="114"/>
        <v>49001.4</v>
      </c>
      <c r="AV90" s="5"/>
      <c r="AW90" s="5">
        <f>BA90+BE90+BI90</f>
        <v>0</v>
      </c>
      <c r="AX90" s="9"/>
      <c r="AY90" s="9">
        <f>49001.4</f>
        <v>49001.4</v>
      </c>
      <c r="AZ90" s="9"/>
      <c r="BA90" s="5"/>
      <c r="BB90" s="9"/>
      <c r="BC90" s="9"/>
      <c r="BD90" s="5"/>
      <c r="BE90" s="5"/>
      <c r="BF90" s="9"/>
      <c r="BG90" s="9"/>
      <c r="BH90" s="5"/>
      <c r="BI90" s="5"/>
      <c r="BJ90" s="31"/>
      <c r="BK90" s="31">
        <f t="shared" si="115"/>
        <v>0</v>
      </c>
      <c r="BL90" s="31">
        <f t="shared" si="115"/>
        <v>524768.97</v>
      </c>
      <c r="BM90" s="5"/>
      <c r="BN90" s="5"/>
      <c r="BO90" s="9"/>
      <c r="BP90" s="9"/>
      <c r="BQ90" s="5"/>
      <c r="BR90" s="5"/>
      <c r="BS90" s="9"/>
      <c r="BT90" s="9">
        <v>126750</v>
      </c>
      <c r="BU90" s="5"/>
      <c r="BV90" s="5"/>
      <c r="BW90" s="9"/>
      <c r="BX90" s="9">
        <f>65808.75+22890+153357.36+16785+139177.86-7516.8+7516.8</f>
        <v>398018.97</v>
      </c>
      <c r="BY90" s="5"/>
      <c r="BZ90" s="5"/>
      <c r="CA90" s="27"/>
    </row>
    <row r="91" spans="1:79" s="35" customFormat="1" ht="42" customHeight="1" x14ac:dyDescent="0.25">
      <c r="A91" s="33"/>
      <c r="B91" s="52" t="s">
        <v>77</v>
      </c>
      <c r="C91" s="10"/>
      <c r="D91" s="10"/>
      <c r="E91" s="9"/>
      <c r="F91" s="9"/>
      <c r="G91" s="9">
        <f t="shared" si="111"/>
        <v>0</v>
      </c>
      <c r="H91" s="9">
        <f t="shared" si="111"/>
        <v>440564.69000000006</v>
      </c>
      <c r="I91" s="5"/>
      <c r="J91" s="5"/>
      <c r="K91" s="31"/>
      <c r="L91" s="31">
        <f t="shared" si="112"/>
        <v>0</v>
      </c>
      <c r="M91" s="31">
        <f t="shared" si="112"/>
        <v>0</v>
      </c>
      <c r="N91" s="5"/>
      <c r="O91" s="5"/>
      <c r="P91" s="9"/>
      <c r="Q91" s="9"/>
      <c r="R91" s="5"/>
      <c r="S91" s="5"/>
      <c r="T91" s="9"/>
      <c r="U91" s="9"/>
      <c r="V91" s="5"/>
      <c r="W91" s="5"/>
      <c r="X91" s="9"/>
      <c r="Y91" s="9"/>
      <c r="Z91" s="5"/>
      <c r="AA91" s="5"/>
      <c r="AB91" s="31"/>
      <c r="AC91" s="31">
        <f t="shared" si="113"/>
        <v>0</v>
      </c>
      <c r="AD91" s="31">
        <f t="shared" si="113"/>
        <v>0</v>
      </c>
      <c r="AE91" s="5"/>
      <c r="AF91" s="5"/>
      <c r="AG91" s="9"/>
      <c r="AH91" s="9"/>
      <c r="AI91" s="5"/>
      <c r="AJ91" s="5"/>
      <c r="AK91" s="9"/>
      <c r="AL91" s="9"/>
      <c r="AM91" s="5"/>
      <c r="AN91" s="5"/>
      <c r="AO91" s="9"/>
      <c r="AP91" s="9"/>
      <c r="AQ91" s="5"/>
      <c r="AR91" s="5"/>
      <c r="AS91" s="31"/>
      <c r="AT91" s="31">
        <f t="shared" si="114"/>
        <v>0</v>
      </c>
      <c r="AU91" s="31">
        <f t="shared" si="114"/>
        <v>4500</v>
      </c>
      <c r="AV91" s="5"/>
      <c r="AW91" s="5"/>
      <c r="AX91" s="9"/>
      <c r="AY91" s="9"/>
      <c r="AZ91" s="9"/>
      <c r="BA91" s="5"/>
      <c r="BB91" s="9"/>
      <c r="BC91" s="9"/>
      <c r="BD91" s="5"/>
      <c r="BE91" s="5"/>
      <c r="BF91" s="9"/>
      <c r="BG91" s="9">
        <f>4500</f>
        <v>4500</v>
      </c>
      <c r="BH91" s="5"/>
      <c r="BI91" s="5"/>
      <c r="BJ91" s="31"/>
      <c r="BK91" s="31">
        <f t="shared" si="115"/>
        <v>0</v>
      </c>
      <c r="BL91" s="31">
        <f t="shared" si="115"/>
        <v>436064.69000000006</v>
      </c>
      <c r="BM91" s="5"/>
      <c r="BN91" s="5"/>
      <c r="BO91" s="9"/>
      <c r="BP91" s="9">
        <f>6176.25</f>
        <v>6176.25</v>
      </c>
      <c r="BQ91" s="5"/>
      <c r="BR91" s="5"/>
      <c r="BS91" s="9"/>
      <c r="BT91" s="9">
        <f>12397.5+4500</f>
        <v>16897.5</v>
      </c>
      <c r="BU91" s="5"/>
      <c r="BV91" s="5"/>
      <c r="BW91" s="9"/>
      <c r="BX91" s="9">
        <f>6541.92+210557.13+69822+18315+107754.89</f>
        <v>412990.94000000006</v>
      </c>
      <c r="BY91" s="5"/>
      <c r="BZ91" s="5"/>
      <c r="CA91" s="27"/>
    </row>
    <row r="92" spans="1:79" s="35" customFormat="1" ht="42" customHeight="1" x14ac:dyDescent="0.25">
      <c r="A92" s="33"/>
      <c r="B92" s="52"/>
      <c r="C92" s="10"/>
      <c r="D92" s="10"/>
      <c r="E92" s="9"/>
      <c r="F92" s="9"/>
      <c r="G92" s="9"/>
      <c r="H92" s="9">
        <f t="shared" si="111"/>
        <v>2542043.89</v>
      </c>
      <c r="I92" s="5"/>
      <c r="J92" s="5"/>
      <c r="K92" s="31"/>
      <c r="L92" s="31"/>
      <c r="M92" s="31"/>
      <c r="N92" s="5"/>
      <c r="O92" s="5"/>
      <c r="P92" s="9"/>
      <c r="Q92" s="9"/>
      <c r="R92" s="5"/>
      <c r="S92" s="5"/>
      <c r="T92" s="9"/>
      <c r="U92" s="9"/>
      <c r="V92" s="5"/>
      <c r="W92" s="5"/>
      <c r="X92" s="9"/>
      <c r="Y92" s="9"/>
      <c r="Z92" s="5"/>
      <c r="AA92" s="5"/>
      <c r="AB92" s="31"/>
      <c r="AC92" s="31"/>
      <c r="AD92" s="31"/>
      <c r="AE92" s="5"/>
      <c r="AF92" s="5"/>
      <c r="AG92" s="9"/>
      <c r="AH92" s="9"/>
      <c r="AI92" s="5"/>
      <c r="AJ92" s="5"/>
      <c r="AK92" s="9"/>
      <c r="AL92" s="9"/>
      <c r="AM92" s="5"/>
      <c r="AN92" s="5"/>
      <c r="AO92" s="9"/>
      <c r="AP92" s="9"/>
      <c r="AQ92" s="5"/>
      <c r="AR92" s="5"/>
      <c r="AS92" s="31"/>
      <c r="AT92" s="31"/>
      <c r="AU92" s="31"/>
      <c r="AV92" s="5"/>
      <c r="AW92" s="5"/>
      <c r="AX92" s="9"/>
      <c r="AY92" s="9"/>
      <c r="AZ92" s="40"/>
      <c r="BA92" s="5"/>
      <c r="BB92" s="9"/>
      <c r="BC92" s="9"/>
      <c r="BD92" s="5"/>
      <c r="BE92" s="5"/>
      <c r="BF92" s="9"/>
      <c r="BG92" s="9"/>
      <c r="BH92" s="5"/>
      <c r="BI92" s="5"/>
      <c r="BJ92" s="31"/>
      <c r="BK92" s="31"/>
      <c r="BL92" s="31">
        <f t="shared" si="115"/>
        <v>2542043.89</v>
      </c>
      <c r="BM92" s="5"/>
      <c r="BN92" s="5"/>
      <c r="BO92" s="9"/>
      <c r="BP92" s="9"/>
      <c r="BQ92" s="5"/>
      <c r="BR92" s="5"/>
      <c r="BS92" s="9"/>
      <c r="BT92" s="9">
        <v>7292.7</v>
      </c>
      <c r="BU92" s="5"/>
      <c r="BV92" s="5"/>
      <c r="BW92" s="9"/>
      <c r="BX92" s="9">
        <f>78881.16+39000+208800+96048+65634.3+134866.33+1213796.99+503268.57+63492+130963.84</f>
        <v>2534751.19</v>
      </c>
      <c r="BY92" s="5"/>
      <c r="BZ92" s="5"/>
      <c r="CA92" s="27"/>
    </row>
    <row r="93" spans="1:79" s="35" customFormat="1" ht="42" customHeight="1" x14ac:dyDescent="0.25">
      <c r="A93" s="33"/>
      <c r="B93" s="52" t="s">
        <v>133</v>
      </c>
      <c r="C93" s="10"/>
      <c r="D93" s="10"/>
      <c r="E93" s="9"/>
      <c r="F93" s="9"/>
      <c r="G93" s="9">
        <f t="shared" si="111"/>
        <v>0</v>
      </c>
      <c r="H93" s="9">
        <f t="shared" si="111"/>
        <v>56365.63</v>
      </c>
      <c r="I93" s="5"/>
      <c r="J93" s="5"/>
      <c r="K93" s="31"/>
      <c r="L93" s="31">
        <f t="shared" si="112"/>
        <v>0</v>
      </c>
      <c r="M93" s="31">
        <f t="shared" si="112"/>
        <v>19999.949999999997</v>
      </c>
      <c r="N93" s="5"/>
      <c r="O93" s="5"/>
      <c r="P93" s="9"/>
      <c r="Q93" s="9">
        <v>6666.65</v>
      </c>
      <c r="R93" s="5"/>
      <c r="S93" s="5"/>
      <c r="T93" s="9"/>
      <c r="U93" s="9">
        <v>6666.65</v>
      </c>
      <c r="V93" s="5"/>
      <c r="W93" s="5"/>
      <c r="X93" s="9"/>
      <c r="Y93" s="9">
        <f>6666.65</f>
        <v>6666.65</v>
      </c>
      <c r="Z93" s="5"/>
      <c r="AA93" s="5"/>
      <c r="AB93" s="31"/>
      <c r="AC93" s="31">
        <f t="shared" si="113"/>
        <v>0</v>
      </c>
      <c r="AD93" s="31">
        <f t="shared" si="113"/>
        <v>22631.53</v>
      </c>
      <c r="AE93" s="5"/>
      <c r="AF93" s="5"/>
      <c r="AG93" s="9"/>
      <c r="AH93" s="9">
        <f>6666.65+631.58</f>
        <v>7298.23</v>
      </c>
      <c r="AI93" s="5"/>
      <c r="AJ93" s="5"/>
      <c r="AK93" s="9"/>
      <c r="AL93" s="9">
        <f>6666.65+1000</f>
        <v>7666.65</v>
      </c>
      <c r="AM93" s="5"/>
      <c r="AN93" s="5"/>
      <c r="AO93" s="9"/>
      <c r="AP93" s="9">
        <f>6666.65+1000</f>
        <v>7666.65</v>
      </c>
      <c r="AQ93" s="5"/>
      <c r="AR93" s="5"/>
      <c r="AS93" s="31"/>
      <c r="AT93" s="31">
        <f>AX93+BB93+BF93</f>
        <v>0</v>
      </c>
      <c r="AU93" s="31">
        <f>AY93+BC93+BG93</f>
        <v>9733.65</v>
      </c>
      <c r="AV93" s="5"/>
      <c r="AW93" s="5">
        <f>BA93+BE93+BI93</f>
        <v>0</v>
      </c>
      <c r="AX93" s="9"/>
      <c r="AY93" s="9">
        <f>6666.65+1000</f>
        <v>7666.65</v>
      </c>
      <c r="AZ93" s="5"/>
      <c r="BA93" s="5"/>
      <c r="BB93" s="9"/>
      <c r="BC93" s="9">
        <f>33.5+1000</f>
        <v>1033.5</v>
      </c>
      <c r="BD93" s="5"/>
      <c r="BE93" s="5"/>
      <c r="BF93" s="9"/>
      <c r="BG93" s="9">
        <f>33.5+1000</f>
        <v>1033.5</v>
      </c>
      <c r="BH93" s="5"/>
      <c r="BI93" s="5"/>
      <c r="BJ93" s="31"/>
      <c r="BK93" s="31">
        <f t="shared" si="115"/>
        <v>0</v>
      </c>
      <c r="BL93" s="31">
        <f t="shared" si="115"/>
        <v>4000.5</v>
      </c>
      <c r="BM93" s="5"/>
      <c r="BN93" s="5"/>
      <c r="BO93" s="9"/>
      <c r="BP93" s="9">
        <f>33.5+1000</f>
        <v>1033.5</v>
      </c>
      <c r="BQ93" s="5"/>
      <c r="BR93" s="5"/>
      <c r="BS93" s="9"/>
      <c r="BT93" s="9">
        <f>33.5+1000</f>
        <v>1033.5</v>
      </c>
      <c r="BU93" s="5"/>
      <c r="BV93" s="5"/>
      <c r="BW93" s="9"/>
      <c r="BX93" s="9">
        <f>33.5+1900</f>
        <v>1933.5</v>
      </c>
      <c r="BY93" s="5"/>
      <c r="BZ93" s="5"/>
      <c r="CA93" s="27"/>
    </row>
    <row r="94" spans="1:79" s="46" customFormat="1" ht="42" customHeight="1" x14ac:dyDescent="0.25">
      <c r="A94" s="53"/>
      <c r="B94" s="54" t="s">
        <v>1</v>
      </c>
      <c r="C94" s="10">
        <f t="shared" ref="C94:H94" si="116">C3+C5+C9+C12+C20+C29+C33+C42+C48+C50+C57+C62+C74+C76+C81+C84+C87</f>
        <v>202741000</v>
      </c>
      <c r="D94" s="10">
        <f t="shared" si="116"/>
        <v>178060110</v>
      </c>
      <c r="E94" s="10">
        <f t="shared" si="116"/>
        <v>177998200</v>
      </c>
      <c r="F94" s="10">
        <f t="shared" si="116"/>
        <v>178060110</v>
      </c>
      <c r="G94" s="10">
        <f t="shared" si="116"/>
        <v>131873731.7</v>
      </c>
      <c r="H94" s="10">
        <f t="shared" si="116"/>
        <v>177585316.24000001</v>
      </c>
      <c r="I94" s="7">
        <f>I3+I5+I9+I12+I20+I29+I33+I42+I48+I50+I57+I62+I74+I76+I81+I84</f>
        <v>253022</v>
      </c>
      <c r="J94" s="7">
        <f>J3+J5+J9+J12+J20+J29+J33+J42+J48+J50+J57+J62+J74+J76+J81+J84</f>
        <v>1723619</v>
      </c>
      <c r="K94" s="10">
        <f>K3+K5+K9+K12+K20+K29+K33+K42+K48+K50+K57+K62+K74+K76+K81+K84+K87</f>
        <v>47172100</v>
      </c>
      <c r="L94" s="10">
        <f>L3+L5+L9+L12+L20+L29+L33+L42+L48+L50+L57+L62+L74+L76+L81+L84+L87</f>
        <v>32948194.960000001</v>
      </c>
      <c r="M94" s="10">
        <f>M3+M5+M9+M12+M20+M29+M33+M42+M48+M50+M57+M62+M74+M76+M81+M84+M87</f>
        <v>40009700.600000001</v>
      </c>
      <c r="N94" s="7">
        <f>N3+N5+N9+N12+N20+N29+N33+N42+N48+N50+N57+N62+N74+N76+N81+N84</f>
        <v>108439</v>
      </c>
      <c r="O94" s="7">
        <f>O3+O5+O9+O12+O20+O29+O33+O42+O48+O50+O57+O62+O74+O76+O81+O84</f>
        <v>416540</v>
      </c>
      <c r="P94" s="10">
        <f>P3+P5+P9+P12+P20+P29+P33+P42+P48+P50+P57+P62+P74+P76+P81+P84+P87</f>
        <v>10797203.77</v>
      </c>
      <c r="Q94" s="10">
        <f>Q3+Q5+Q9+Q12+Q20+Q29+Q33+Q42+Q48+Q50+Q57+Q62+Q74+Q76+Q81+Q84+Q87</f>
        <v>8425000.4100000001</v>
      </c>
      <c r="R94" s="7">
        <f>R3+R5+R9+R12+R20+R29+R33+R42+R48+R50+R57+R62+R74+R76+R81+R84</f>
        <v>56846</v>
      </c>
      <c r="S94" s="7">
        <f>S3+S5+S9+S12+S20+S29+S33+S42+S48+S50+S57+S62+S74+S76+S81+S84</f>
        <v>141880</v>
      </c>
      <c r="T94" s="10">
        <f>T3+T5+T9+T12+T20+T29+T33+T42+T48+T50+T57+T62+T74+T76+T81+T84+T87</f>
        <v>10826517.850000003</v>
      </c>
      <c r="U94" s="10">
        <f>U3+U5+U9+U12+U20+U29+U33+U42+U48+U50+U57+U62+U74+U76+U81+U84+U87</f>
        <v>15801122.689999999</v>
      </c>
      <c r="V94" s="7">
        <f>V3+V5+V9+V12+V20+V29+V33+V42+V48+V50+V57+V62+V74+V76+V81+V84</f>
        <v>50775</v>
      </c>
      <c r="W94" s="7">
        <f>W3+W5+W9+W12+W20+W29+W33+W42+W48+W50+W57+W62+W74+W76+W81+W84</f>
        <v>137311</v>
      </c>
      <c r="X94" s="10">
        <f>X3+X5+X9+X12+X20+X29+X33+X42+X48+X50+X57+X62+X74+X76+X81+X84+X87</f>
        <v>11324473.34</v>
      </c>
      <c r="Y94" s="10">
        <f>Y3+Y5+Y9+Y12+Y20+Y29+Y33+Y42+Y48+Y50+Y57+Y62+Y74+Y76+Y81+Y84+Y87</f>
        <v>15783577.5</v>
      </c>
      <c r="Z94" s="7">
        <f>Z3+Z5+Z9+Z12+Z20+Z29+Z33+Z42+Z48+Z50+Z57+Z62+Z74+Z76+Z81+Z84</f>
        <v>55579</v>
      </c>
      <c r="AA94" s="7">
        <f>AA3+AA5+AA9+AA12+AA20+AA29+AA33+AA42+AA48+AA50+AA57+AA62+AA74+AA76+AA81+AA84</f>
        <v>137349</v>
      </c>
      <c r="AB94" s="10">
        <f>AB3+AB5+AB9+AB12+AB20+AB29+AB33+AB42+AB48+AB50+AB57+AB62+AB74+AB76+AB81+AB84+AB87</f>
        <v>46500200</v>
      </c>
      <c r="AC94" s="10">
        <f>AC3+AC5+AC9+AC12+AC20+AC29+AC33+AC42+AC48+AC50+AC57+AC62+AC74+AC76+AC81+AC84+AC87</f>
        <v>32412290.950000003</v>
      </c>
      <c r="AD94" s="10">
        <f>AD3+AD5+AD9+AD12+AD20+AD29+AD33+AD42+AD48+AD50+AD57+AD62+AD74+AD76+AD81+AD84+AD87</f>
        <v>43291467.679999992</v>
      </c>
      <c r="AE94" s="7">
        <f>AE3+AE5+AE9+AE12+AE20+AE29+AE33+AE42+AE48+AE50+AE57+AE62+AE74+AE76+AE81+AE84</f>
        <v>107547</v>
      </c>
      <c r="AF94" s="7">
        <f>AF3+AF5+AF9+AF12+AF20+AF29+AF33+AF42+AF48+AF50+AF57+AF62+AF74+AF76+AF81+AF84</f>
        <v>429863</v>
      </c>
      <c r="AG94" s="10">
        <f>AG3+AG5+AG9+AG12+AG20+AG29+AG33+AG42+AG48+AG50+AG57+AG62+AG74+AG76+AG81+AG84+AG87</f>
        <v>10423150.309999999</v>
      </c>
      <c r="AH94" s="10">
        <f>AH3+AH5+AH9+AH12+AH20+AH29+AH33+AH42+AH48+AH50+AH57+AH62+AH74+AH76+AH81+AH84+AH87</f>
        <v>14449143.170000002</v>
      </c>
      <c r="AI94" s="7">
        <f>AI3+AI5+AI9+AI12+AI20+AI29+AI33+AI42+AI48+AI50+AI57+AI62+AI74+AI76+AI81+AI84</f>
        <v>58009</v>
      </c>
      <c r="AJ94" s="7">
        <f>AJ3+AJ5+AJ9+AJ12+AJ20+AJ29+AJ33+AJ42+AJ48+AJ50+AJ57+AJ62+AJ74+AJ76+AJ81+AJ84</f>
        <v>146489</v>
      </c>
      <c r="AK94" s="10">
        <f>AK3+AK5+AK9+AK12+AK20+AK29+AK33+AK42+AK48+AK50+AK57+AK62+AK74+AK76+AK81+AK84</f>
        <v>10810411.719999999</v>
      </c>
      <c r="AL94" s="10">
        <f>AL3+AL5+AL9+AL12+AL20+AL29+AL33+AL42+AL48+AL50+AL57+AL62+AL74+AL76+AL81+AL84+AL87</f>
        <v>15553456.309999997</v>
      </c>
      <c r="AM94" s="7">
        <f>AM3+AM5+AM9+AM12+AM20+AM29+AM33+AM42+AM48+AM50+AM57+AM62+AM74+AM76+AM81+AM84</f>
        <v>55546</v>
      </c>
      <c r="AN94" s="7">
        <f>AN3+AN5+AN9+AN12+AN20+AN29+AN33+AN42+AN48+AN50+AN57+AN62+AN74+AN76+AN81+AN84</f>
        <v>139992</v>
      </c>
      <c r="AO94" s="10">
        <f>AO3+AO5+AO9+AO12+AO20+AO29+AO33+AO42+AO48+AO50+AO57+AO62+AO74+AO76+AO81+AO84</f>
        <v>11178728.92</v>
      </c>
      <c r="AP94" s="10">
        <f>AP3+AP5+AP9+AP12+AP20+AP29+AP33+AP42+AP48+AP50+AP57+AP62+AP74+AP76+AP81+AP84+AP87</f>
        <v>13288868.200000001</v>
      </c>
      <c r="AQ94" s="7">
        <f>AQ3+AQ5+AQ9+AQ12+AQ20+AQ29+AQ33+AQ42+AQ48+AQ50+AQ57+AQ62+AQ74+AQ76+AQ81+AQ84</f>
        <v>57863</v>
      </c>
      <c r="AR94" s="7">
        <f>AR3+AR5+AR9+AR12+AR20+AR29+AR33+AR42+AR48+AR50+AR57+AR62+AR74+AR76+AR81+AR84</f>
        <v>143382</v>
      </c>
      <c r="AS94" s="10">
        <f>AS3+AS5+AS9+AS12+AS20+AS29+AS33+AS42+AS48+AS50+AS57+AS62+AS74+AS76+AS81+AS84+AS87</f>
        <v>47993590</v>
      </c>
      <c r="AT94" s="10">
        <f>AT3+AT5+AT9+AT12+AT20+AT29+AT33+AT42+AT48+AT50+AT57+AT62+AT74+AT76+AT81+AT84+AT87</f>
        <v>32082767.130000003</v>
      </c>
      <c r="AU94" s="10">
        <f>AU3+AU5+AU9+AU12+AU20+AU29+AU33+AU42+AU48+AU50+AU57+AU62+AU74+AU76+AU81+AU84+AU87</f>
        <v>40222754.580000006</v>
      </c>
      <c r="AV94" s="7">
        <f>AV3+AV5+AV9+AV12+AV20+AV29+AV33+AV42+AV48+AV50+AV57+AV62+AV74+AV76+AV81+AV84</f>
        <v>103904</v>
      </c>
      <c r="AW94" s="7">
        <f>AW3+AW5+AW9+AW12+AW20+AW29+AW33+AW42+AW48+AW50+AW57+AW62+AW74+AW76+AW81+AW84</f>
        <v>433829</v>
      </c>
      <c r="AX94" s="55">
        <f>AX3+AX5+AX9+AX12+AX20+AX29+AX33+AX42+AX48+AX50+AX57+AX62+AX74+AX76+AX81+AX84</f>
        <v>10447407.26</v>
      </c>
      <c r="AY94" s="10">
        <f>AY3+AY5+AY9+AY12+AY20+AY29+AY33+AY42+AY48+AY50+AY57+AY62+AY74+AY76+AY81+AY84+AY87</f>
        <v>14371072.75</v>
      </c>
      <c r="AZ94" s="7">
        <f>AZ3+AZ5+AZ9+AZ12+AZ20+AZ29+AZ33+AZ42+AZ48+AZ50+AZ57+AZ62+AZ74+AZ76+AZ81+AZ84</f>
        <v>59775</v>
      </c>
      <c r="BA94" s="7">
        <f>BA3+BA5+BA9+BA12+BA20+BA29+BA33+BA42+BA48+BA50+BA57+BA62+BA74+BA76+BA81+BA84</f>
        <v>142420</v>
      </c>
      <c r="BB94" s="10">
        <f>BB3+BB5+BB9+BB12+BB20+BB29+BB33+BB42+BB48+BB50+BB57+BB62+BB74+BB76+BB81+BB84</f>
        <v>10395527.42</v>
      </c>
      <c r="BC94" s="10">
        <f>BC3+BC5+BC9+BC12+BC20+BC29+BC33+BC42+BC48+BC50+BC57+BC62+BC74+BC76+BC81+BC84+BC87</f>
        <v>12550531.039999997</v>
      </c>
      <c r="BD94" s="7">
        <f>BD3+BD5+BD9+BD12+BD20+BD29+BD33+BD42+BD48+BD50+BD57+BD62+BD74+BD76+BD81+BD84</f>
        <v>58695</v>
      </c>
      <c r="BE94" s="7">
        <f>BE3+BE5+BE9+BE12+BE20+BE29+BE33+BE42+BE48+BE50+BE57+BE62+BE74+BE76+BE81+BE84</f>
        <v>144030</v>
      </c>
      <c r="BF94" s="10">
        <f>BF3+BF5+BF9+BF12+BF20+BF29+BF33+BF42+BF48+BF50+BF57+BF62+BF74+BF76+BF81+BF84</f>
        <v>11239832.449999999</v>
      </c>
      <c r="BG94" s="10">
        <f>BG3+BG5+BG9+BG12+BG20+BG29+BG33+BG42+BG48+BG50+BG57+BG62+BG74+BG76+BG81+BG84+BG87</f>
        <v>13301150.790000001</v>
      </c>
      <c r="BH94" s="7">
        <f>BH3+BH5+BH9+BH12+BH20+BH29+BH33+BH42+BH48+BH50+BH57+BH62+BH74+BH76+BH81+BH84</f>
        <v>57746</v>
      </c>
      <c r="BI94" s="7">
        <f>BI3+BI5+BI9+BI12+BI20+BI29+BI33+BI42+BI48+BI50+BI57+BI62+BI74+BI76+BI81+BI84</f>
        <v>147379</v>
      </c>
      <c r="BJ94" s="10">
        <f>BJ3+BJ5+BJ9+BJ12+BJ20+BJ29+BJ33+BJ42+BJ48+BJ50+BJ57+BJ62+BJ74+BJ76+BJ81+BJ84+BJ87</f>
        <v>36394220</v>
      </c>
      <c r="BK94" s="10">
        <f>BK3+BK5+BK9+BK12+BK20+BK29+BK33+BK42+BK48+BK50+BK57+BK62+BK74+BK76+BK81+BK84+BK87</f>
        <v>34430478.659999996</v>
      </c>
      <c r="BL94" s="10">
        <f>BL3+BL5+BL9+BL12+BL20+BL29+BL33+BL42+BL48+BL50+BL57+BL62+BL74+BL76+BL81+BL84+BL87</f>
        <v>54061393.380000003</v>
      </c>
      <c r="BM94" s="7">
        <f>BM3+BM5+BM9+BM12+BM20+BM29+BM33+BM42+BM48+BM50+BM57+BM62+BM74+BM76+BM81+BM84</f>
        <v>107230</v>
      </c>
      <c r="BN94" s="7">
        <f>BN3+BN5+BN9+BN12+BN20+BN29+BN33+BN42+BN48+BN50+BN57+BN62+BN74+BN76+BN81+BN84</f>
        <v>443387</v>
      </c>
      <c r="BO94" s="10">
        <f>BO3+BO5+BO9+BO12+BO20+BO29+BO33+BO42+BO48+BO50+BO57+BO62+BO74+BO76+BO81+BO84</f>
        <v>10302624.99</v>
      </c>
      <c r="BP94" s="10">
        <f>BP3+BP5+BP9+BP12+BP20+BP29+BP33+BP42+BP48+BP50+BP57+BP62+BP74+BP76+BP81+BP84+BP87</f>
        <v>15528487.379999999</v>
      </c>
      <c r="BQ94" s="7">
        <f>BQ3+BQ5+BQ9+BQ12+BQ20+BQ29+BQ33+BQ42+BQ48+BQ50+BQ57+BQ62+BQ74+BQ76+BQ81+BQ84</f>
        <v>59261</v>
      </c>
      <c r="BR94" s="7">
        <f>BR3+BR5+BR9+BR12+BR20+BR29+BR33+BR42+BR48+BR50+BR57+BR62+BR74+BR76+BR81+BR84</f>
        <v>144423</v>
      </c>
      <c r="BS94" s="10">
        <f>BS3+BS5+BS9+BS12+BS20+BS29+BS33+BS42+BS48+BS50+BS57+BS62+BS74+BS76+BS81+BS84</f>
        <v>11171687.179999998</v>
      </c>
      <c r="BT94" s="10">
        <f>BT3+BT5+BT9+BT12+BT20+BT29+BT33+BT42+BT48+BT50+BT57+BT62+BT74+BT76+BT81+BT84+BT87</f>
        <v>13171442.640000001</v>
      </c>
      <c r="BU94" s="7">
        <f>BU3+BU5+BU9+BU12+BU20+BU29+BU33+BU42+BU48+BU50+BU57+BU62+BU74+BU76+BU81+BU84</f>
        <v>59899</v>
      </c>
      <c r="BV94" s="7">
        <f>BV3+BV5+BV9+BV12+BV20+BV29+BV33+BV42+BV48+BV50+BV57+BV62+BV74+BV76+BV81+BV84</f>
        <v>147915</v>
      </c>
      <c r="BW94" s="10">
        <f>BW3+BW5+BW9+BW12+BW20+BW29+BW33+BW42+BW48+BW50+BW57+BW62+BW74+BW76+BW81+BW84</f>
        <v>12956166.489999998</v>
      </c>
      <c r="BX94" s="10">
        <f>BX3+BX5+BX9+BX12+BX20+BX29+BX33+BX42+BX48+BX50+BX57+BX62+BX74+BX76+BX81+BX84+BX87</f>
        <v>25361463.359999999</v>
      </c>
      <c r="BY94" s="7">
        <f>BY3+BY5+BY9+BY12+BY20+BY29+BY33+BY42+BY48+BY50+BY57+BY62+BY74+BY76+BY81+BY84</f>
        <v>61515</v>
      </c>
      <c r="BZ94" s="7">
        <f>BZ3+BZ5+BZ9+BZ12+BZ20+BZ29+BZ33+BZ42+BZ48+BZ50+BZ57+BZ62+BZ74+BZ76+BZ81+BZ84</f>
        <v>151049</v>
      </c>
      <c r="CA94" s="27"/>
    </row>
    <row r="95" spans="1:79" ht="20.100000000000001" customHeight="1" x14ac:dyDescent="0.25">
      <c r="AX95" s="62"/>
      <c r="BH95" s="63"/>
      <c r="BI95" s="63"/>
    </row>
    <row r="96" spans="1:79" ht="20.100000000000001" customHeight="1" x14ac:dyDescent="0.25">
      <c r="A96" s="19"/>
      <c r="B96" s="19"/>
      <c r="C96" s="19"/>
      <c r="D96" s="19"/>
      <c r="AA96" s="19"/>
      <c r="AB96" s="19"/>
      <c r="AC96" s="19"/>
      <c r="AD96" s="19"/>
      <c r="AE96" s="19"/>
      <c r="AF96" s="19"/>
      <c r="AG96" s="19"/>
      <c r="AI96" s="19"/>
      <c r="AJ96" s="19"/>
      <c r="AK96" s="19"/>
      <c r="AX96" s="62"/>
    </row>
    <row r="97" s="19" customFormat="1" ht="20.100000000000001" customHeight="1" x14ac:dyDescent="0.25"/>
    <row r="98" s="19" customFormat="1" ht="20.100000000000001" customHeight="1" x14ac:dyDescent="0.25"/>
    <row r="99" s="19" customFormat="1" ht="20.100000000000001" customHeight="1" x14ac:dyDescent="0.25"/>
    <row r="100" s="19" customFormat="1" ht="20.100000000000001" customHeight="1" x14ac:dyDescent="0.25"/>
    <row r="101" s="19" customFormat="1" ht="20.100000000000001" customHeight="1" x14ac:dyDescent="0.25"/>
    <row r="102" s="19" customFormat="1" ht="20.100000000000001" customHeight="1" x14ac:dyDescent="0.25"/>
    <row r="103" s="19" customFormat="1" ht="20.100000000000001" customHeight="1" x14ac:dyDescent="0.25"/>
    <row r="104" s="19" customFormat="1" ht="20.100000000000001" customHeight="1" x14ac:dyDescent="0.25"/>
    <row r="105" s="19" customFormat="1" ht="20.100000000000001" customHeight="1" x14ac:dyDescent="0.25"/>
    <row r="106" s="19" customFormat="1" ht="20.100000000000001" customHeight="1" x14ac:dyDescent="0.25"/>
    <row r="107" s="19" customFormat="1" ht="20.100000000000001" customHeight="1" x14ac:dyDescent="0.25"/>
    <row r="108" s="19" customFormat="1" ht="20.100000000000001" customHeight="1" x14ac:dyDescent="0.25"/>
    <row r="109" s="19" customFormat="1" ht="20.100000000000001" customHeight="1" x14ac:dyDescent="0.25"/>
    <row r="110" s="19" customFormat="1" ht="20.100000000000001" customHeight="1" x14ac:dyDescent="0.25"/>
    <row r="111" s="19" customFormat="1" ht="20.100000000000001" customHeight="1" x14ac:dyDescent="0.25"/>
    <row r="112" s="19" customFormat="1" ht="20.100000000000001" customHeight="1" x14ac:dyDescent="0.25"/>
    <row r="113" s="19" customFormat="1" ht="20.100000000000001" customHeight="1" x14ac:dyDescent="0.25"/>
    <row r="114" s="19" customFormat="1" ht="20.100000000000001" customHeight="1" x14ac:dyDescent="0.25"/>
    <row r="115" s="19" customFormat="1" ht="20.100000000000001" customHeight="1" x14ac:dyDescent="0.25"/>
    <row r="116" s="19" customFormat="1" ht="20.100000000000001" customHeight="1" x14ac:dyDescent="0.25"/>
    <row r="117" s="19" customFormat="1" ht="20.100000000000001" customHeight="1" x14ac:dyDescent="0.25"/>
    <row r="118" s="19" customFormat="1" ht="20.100000000000001" customHeight="1" x14ac:dyDescent="0.25"/>
    <row r="119" s="19" customFormat="1" ht="20.100000000000001" customHeight="1" x14ac:dyDescent="0.25"/>
    <row r="120" s="19" customFormat="1" ht="20.100000000000001" customHeight="1" x14ac:dyDescent="0.25"/>
    <row r="121" s="19" customFormat="1" ht="20.100000000000001" customHeight="1" x14ac:dyDescent="0.25"/>
    <row r="122" s="19" customFormat="1" ht="20.100000000000001" customHeight="1" x14ac:dyDescent="0.25"/>
    <row r="123" s="19" customFormat="1" ht="20.100000000000001" customHeight="1" x14ac:dyDescent="0.25"/>
    <row r="124" s="19" customFormat="1" ht="20.100000000000001" customHeight="1" x14ac:dyDescent="0.25"/>
    <row r="125" s="19" customFormat="1" ht="20.100000000000001" customHeight="1" x14ac:dyDescent="0.25"/>
    <row r="126" s="19" customFormat="1" ht="20.100000000000001" customHeight="1" x14ac:dyDescent="0.25"/>
    <row r="127" s="19" customFormat="1" ht="20.100000000000001" customHeight="1" x14ac:dyDescent="0.25"/>
    <row r="128" s="19" customFormat="1" ht="20.100000000000001" customHeight="1" x14ac:dyDescent="0.25"/>
    <row r="129" s="19" customFormat="1" ht="20.100000000000001" customHeight="1" x14ac:dyDescent="0.25"/>
    <row r="130" s="19" customFormat="1" ht="20.100000000000001" customHeight="1" x14ac:dyDescent="0.25"/>
    <row r="131" s="19" customFormat="1" ht="20.100000000000001" customHeight="1" x14ac:dyDescent="0.25"/>
    <row r="132" s="19" customFormat="1" ht="20.100000000000001" customHeight="1" x14ac:dyDescent="0.25"/>
    <row r="133" s="19" customFormat="1" ht="20.100000000000001" customHeight="1" x14ac:dyDescent="0.25"/>
    <row r="134" s="19" customFormat="1" ht="20.100000000000001" customHeight="1" x14ac:dyDescent="0.25"/>
    <row r="135" s="19" customFormat="1" ht="20.100000000000001" customHeight="1" x14ac:dyDescent="0.25"/>
    <row r="136" s="19" customFormat="1" ht="20.100000000000001" customHeight="1" x14ac:dyDescent="0.25"/>
    <row r="137" s="19" customFormat="1" ht="20.100000000000001" customHeight="1" x14ac:dyDescent="0.25"/>
    <row r="138" s="19" customFormat="1" ht="20.100000000000001" customHeight="1" x14ac:dyDescent="0.25"/>
    <row r="139" s="19" customFormat="1" ht="20.100000000000001" customHeight="1" x14ac:dyDescent="0.25"/>
    <row r="140" s="19" customFormat="1" ht="20.100000000000001" customHeight="1" x14ac:dyDescent="0.25"/>
    <row r="141" s="19" customFormat="1" ht="20.100000000000001" customHeight="1" x14ac:dyDescent="0.25"/>
    <row r="142" s="19" customFormat="1" ht="20.100000000000001" customHeight="1" x14ac:dyDescent="0.25"/>
    <row r="143" s="19" customFormat="1" ht="20.100000000000001" customHeight="1" x14ac:dyDescent="0.25"/>
    <row r="144" s="19" customFormat="1" ht="20.100000000000001" customHeight="1" x14ac:dyDescent="0.25"/>
    <row r="145" s="19" customFormat="1" ht="20.100000000000001" customHeight="1" x14ac:dyDescent="0.25"/>
    <row r="146" s="19" customFormat="1" ht="20.100000000000001" customHeight="1" x14ac:dyDescent="0.25"/>
    <row r="147" s="19" customFormat="1" ht="20.100000000000001" customHeight="1" x14ac:dyDescent="0.25"/>
    <row r="148" s="19" customFormat="1" ht="20.100000000000001" customHeight="1" x14ac:dyDescent="0.25"/>
    <row r="149" s="19" customFormat="1" ht="20.100000000000001" customHeight="1" x14ac:dyDescent="0.25"/>
    <row r="150" s="19" customFormat="1" ht="20.100000000000001" customHeight="1" x14ac:dyDescent="0.25"/>
    <row r="151" s="19" customFormat="1" ht="20.100000000000001" customHeight="1" x14ac:dyDescent="0.25"/>
    <row r="152" s="19" customFormat="1" ht="20.100000000000001" customHeight="1" x14ac:dyDescent="0.25"/>
    <row r="153" s="19" customFormat="1" ht="20.100000000000001" customHeight="1" x14ac:dyDescent="0.25"/>
    <row r="154" s="19" customFormat="1" ht="20.100000000000001" customHeight="1" x14ac:dyDescent="0.25"/>
    <row r="155" s="19" customFormat="1" ht="20.100000000000001" customHeight="1" x14ac:dyDescent="0.25"/>
    <row r="156" s="19" customFormat="1" ht="20.100000000000001" customHeight="1" x14ac:dyDescent="0.25"/>
    <row r="157" s="19" customFormat="1" ht="20.100000000000001" customHeight="1" x14ac:dyDescent="0.25"/>
    <row r="158" s="19" customFormat="1" ht="20.100000000000001" customHeight="1" x14ac:dyDescent="0.25"/>
    <row r="159" s="19" customFormat="1" ht="20.100000000000001" customHeight="1" x14ac:dyDescent="0.25"/>
    <row r="160" s="19" customFormat="1" ht="20.100000000000001" customHeight="1" x14ac:dyDescent="0.25"/>
    <row r="161" s="19" customFormat="1" ht="20.100000000000001" customHeight="1" x14ac:dyDescent="0.25"/>
    <row r="162" s="19" customFormat="1" ht="20.100000000000001" customHeight="1" x14ac:dyDescent="0.25"/>
    <row r="163" s="19" customFormat="1" ht="20.100000000000001" customHeight="1" x14ac:dyDescent="0.25"/>
    <row r="164" s="19" customFormat="1" ht="20.100000000000001" customHeight="1" x14ac:dyDescent="0.25"/>
    <row r="165" s="19" customFormat="1" ht="20.100000000000001" customHeight="1" x14ac:dyDescent="0.25"/>
    <row r="166" s="19" customFormat="1" ht="20.100000000000001" customHeight="1" x14ac:dyDescent="0.25"/>
    <row r="167" s="19" customFormat="1" ht="20.100000000000001" customHeight="1" x14ac:dyDescent="0.25"/>
    <row r="168" s="19" customFormat="1" ht="20.100000000000001" customHeight="1" x14ac:dyDescent="0.25"/>
    <row r="169" s="19" customFormat="1" ht="20.100000000000001" customHeight="1" x14ac:dyDescent="0.25"/>
    <row r="170" s="19" customFormat="1" ht="20.100000000000001" customHeight="1" x14ac:dyDescent="0.25"/>
    <row r="171" s="19" customFormat="1" ht="20.100000000000001" customHeight="1" x14ac:dyDescent="0.25"/>
    <row r="172" s="19" customFormat="1" ht="20.100000000000001" customHeight="1" x14ac:dyDescent="0.25"/>
    <row r="173" s="19" customFormat="1" ht="20.100000000000001" customHeight="1" x14ac:dyDescent="0.25"/>
    <row r="174" s="19" customFormat="1" ht="20.100000000000001" customHeight="1" x14ac:dyDescent="0.25"/>
    <row r="175" s="19" customFormat="1" ht="20.100000000000001" customHeight="1" x14ac:dyDescent="0.25"/>
    <row r="176" s="19" customFormat="1" ht="20.100000000000001" customHeight="1" x14ac:dyDescent="0.25"/>
    <row r="177" s="19" customFormat="1" ht="20.100000000000001" customHeight="1" x14ac:dyDescent="0.25"/>
    <row r="178" s="19" customFormat="1" ht="20.100000000000001" customHeight="1" x14ac:dyDescent="0.25"/>
    <row r="179" s="19" customFormat="1" ht="20.100000000000001" customHeight="1" x14ac:dyDescent="0.25"/>
    <row r="180" s="19" customFormat="1" ht="20.100000000000001" customHeight="1" x14ac:dyDescent="0.25"/>
    <row r="181" s="19" customFormat="1" ht="20.100000000000001" customHeight="1" x14ac:dyDescent="0.25"/>
    <row r="182" s="19" customFormat="1" ht="20.100000000000001" customHeight="1" x14ac:dyDescent="0.25"/>
    <row r="183" s="19" customFormat="1" ht="20.100000000000001" customHeight="1" x14ac:dyDescent="0.25"/>
    <row r="184" s="19" customFormat="1" ht="20.100000000000001" customHeight="1" x14ac:dyDescent="0.25"/>
    <row r="185" s="19" customFormat="1" ht="20.100000000000001" customHeight="1" x14ac:dyDescent="0.25"/>
    <row r="186" s="19" customFormat="1" ht="20.100000000000001" customHeight="1" x14ac:dyDescent="0.25"/>
    <row r="187" s="19" customFormat="1" ht="20.100000000000001" customHeight="1" x14ac:dyDescent="0.25"/>
    <row r="188" s="19" customFormat="1" ht="20.100000000000001" customHeight="1" x14ac:dyDescent="0.25"/>
    <row r="189" s="19" customFormat="1" ht="20.100000000000001" customHeight="1" x14ac:dyDescent="0.25"/>
    <row r="190" s="19" customFormat="1" ht="20.100000000000001" customHeight="1" x14ac:dyDescent="0.25"/>
    <row r="191" s="19" customFormat="1" ht="20.100000000000001" customHeight="1" x14ac:dyDescent="0.25"/>
    <row r="192" s="19" customFormat="1" ht="20.100000000000001" customHeight="1" x14ac:dyDescent="0.25"/>
    <row r="193" s="19" customFormat="1" ht="20.100000000000001" customHeight="1" x14ac:dyDescent="0.25"/>
    <row r="194" s="19" customFormat="1" ht="20.100000000000001" customHeight="1" x14ac:dyDescent="0.25"/>
    <row r="195" s="19" customFormat="1" ht="20.100000000000001" customHeight="1" x14ac:dyDescent="0.25"/>
    <row r="196" s="19" customFormat="1" ht="20.100000000000001" customHeight="1" x14ac:dyDescent="0.25"/>
    <row r="197" s="19" customFormat="1" ht="20.100000000000001" customHeight="1" x14ac:dyDescent="0.25"/>
    <row r="198" s="19" customFormat="1" ht="20.100000000000001" customHeight="1" x14ac:dyDescent="0.25"/>
    <row r="199" s="19" customFormat="1" ht="20.100000000000001" customHeight="1" x14ac:dyDescent="0.25"/>
    <row r="200" s="19" customFormat="1" ht="20.100000000000001" customHeight="1" x14ac:dyDescent="0.25"/>
    <row r="201" s="19" customFormat="1" ht="20.100000000000001" customHeight="1" x14ac:dyDescent="0.25"/>
    <row r="202" s="19" customFormat="1" ht="20.100000000000001" customHeight="1" x14ac:dyDescent="0.25"/>
    <row r="203" s="19" customFormat="1" ht="20.100000000000001" customHeight="1" x14ac:dyDescent="0.25"/>
    <row r="204" s="19" customFormat="1" ht="20.100000000000001" customHeight="1" x14ac:dyDescent="0.25"/>
    <row r="205" s="19" customFormat="1" ht="20.100000000000001" customHeight="1" x14ac:dyDescent="0.25"/>
    <row r="206" s="19" customFormat="1" ht="20.100000000000001" customHeight="1" x14ac:dyDescent="0.25"/>
    <row r="207" s="19" customFormat="1" ht="20.100000000000001" customHeight="1" x14ac:dyDescent="0.25"/>
    <row r="208" s="19" customFormat="1" ht="20.100000000000001" customHeight="1" x14ac:dyDescent="0.25"/>
    <row r="209" s="19" customFormat="1" ht="20.100000000000001" customHeight="1" x14ac:dyDescent="0.25"/>
    <row r="210" s="19" customFormat="1" ht="20.100000000000001" customHeight="1" x14ac:dyDescent="0.25"/>
    <row r="211" s="19" customFormat="1" ht="20.100000000000001" customHeight="1" x14ac:dyDescent="0.25"/>
    <row r="212" s="19" customFormat="1" ht="20.100000000000001" customHeight="1" x14ac:dyDescent="0.25"/>
    <row r="213" s="19" customFormat="1" ht="20.100000000000001" customHeight="1" x14ac:dyDescent="0.25"/>
    <row r="214" s="19" customFormat="1" ht="20.100000000000001" customHeight="1" x14ac:dyDescent="0.25"/>
    <row r="215" s="19" customFormat="1" ht="20.100000000000001" customHeight="1" x14ac:dyDescent="0.25"/>
    <row r="216" s="19" customFormat="1" ht="20.100000000000001" customHeight="1" x14ac:dyDescent="0.25"/>
    <row r="217" s="19" customFormat="1" ht="20.100000000000001" customHeight="1" x14ac:dyDescent="0.25"/>
    <row r="218" s="19" customFormat="1" ht="20.100000000000001" customHeight="1" x14ac:dyDescent="0.25"/>
    <row r="219" s="19" customFormat="1" ht="20.100000000000001" customHeight="1" x14ac:dyDescent="0.25"/>
    <row r="220" s="19" customFormat="1" ht="20.100000000000001" customHeight="1" x14ac:dyDescent="0.25"/>
    <row r="221" s="19" customFormat="1" ht="20.100000000000001" customHeight="1" x14ac:dyDescent="0.25"/>
    <row r="222" s="19" customFormat="1" ht="20.100000000000001" customHeight="1" x14ac:dyDescent="0.25"/>
    <row r="223" s="19" customFormat="1" ht="20.100000000000001" customHeight="1" x14ac:dyDescent="0.25"/>
    <row r="224" s="19" customFormat="1" ht="20.100000000000001" customHeight="1" x14ac:dyDescent="0.25"/>
    <row r="225" s="19" customFormat="1" ht="20.100000000000001" customHeight="1" x14ac:dyDescent="0.25"/>
    <row r="226" s="19" customFormat="1" ht="20.100000000000001" customHeight="1" x14ac:dyDescent="0.25"/>
    <row r="227" s="19" customFormat="1" ht="20.100000000000001" customHeight="1" x14ac:dyDescent="0.25"/>
    <row r="228" s="19" customFormat="1" ht="20.100000000000001" customHeight="1" x14ac:dyDescent="0.25"/>
    <row r="229" s="19" customFormat="1" ht="20.100000000000001" customHeight="1" x14ac:dyDescent="0.25"/>
    <row r="230" s="19" customFormat="1" ht="20.100000000000001" customHeight="1" x14ac:dyDescent="0.25"/>
    <row r="231" s="19" customFormat="1" ht="20.100000000000001" customHeight="1" x14ac:dyDescent="0.25"/>
    <row r="232" s="19" customFormat="1" ht="20.100000000000001" customHeight="1" x14ac:dyDescent="0.25"/>
    <row r="233" s="19" customFormat="1" ht="20.100000000000001" customHeight="1" x14ac:dyDescent="0.25"/>
    <row r="234" s="19" customFormat="1" ht="20.100000000000001" customHeight="1" x14ac:dyDescent="0.25"/>
    <row r="235" s="19" customFormat="1" ht="20.100000000000001" customHeight="1" x14ac:dyDescent="0.25"/>
    <row r="236" s="19" customFormat="1" ht="20.100000000000001" customHeight="1" x14ac:dyDescent="0.25"/>
    <row r="237" s="19" customFormat="1" ht="20.100000000000001" customHeight="1" x14ac:dyDescent="0.25"/>
    <row r="238" s="19" customFormat="1" ht="20.100000000000001" customHeight="1" x14ac:dyDescent="0.25"/>
    <row r="239" s="19" customFormat="1" ht="20.100000000000001" customHeight="1" x14ac:dyDescent="0.25"/>
    <row r="240" s="19" customFormat="1" ht="20.100000000000001" customHeight="1" x14ac:dyDescent="0.25"/>
    <row r="241" s="19" customFormat="1" ht="20.100000000000001" customHeight="1" x14ac:dyDescent="0.25"/>
    <row r="242" s="19" customFormat="1" ht="20.100000000000001" customHeight="1" x14ac:dyDescent="0.25"/>
    <row r="243" s="19" customFormat="1" ht="20.100000000000001" customHeight="1" x14ac:dyDescent="0.25"/>
    <row r="244" s="19" customFormat="1" ht="20.100000000000001" customHeight="1" x14ac:dyDescent="0.25"/>
    <row r="245" s="19" customFormat="1" ht="20.100000000000001" customHeight="1" x14ac:dyDescent="0.25"/>
    <row r="246" s="19" customFormat="1" ht="20.100000000000001" customHeight="1" x14ac:dyDescent="0.25"/>
    <row r="247" s="19" customFormat="1" ht="20.100000000000001" customHeight="1" x14ac:dyDescent="0.25"/>
    <row r="248" s="19" customFormat="1" ht="20.100000000000001" customHeight="1" x14ac:dyDescent="0.25"/>
    <row r="249" s="19" customFormat="1" ht="20.100000000000001" customHeight="1" x14ac:dyDescent="0.25"/>
    <row r="250" s="19" customFormat="1" ht="20.100000000000001" customHeight="1" x14ac:dyDescent="0.25"/>
    <row r="251" s="19" customFormat="1" ht="20.100000000000001" customHeight="1" x14ac:dyDescent="0.25"/>
    <row r="252" s="19" customFormat="1" ht="20.100000000000001" customHeight="1" x14ac:dyDescent="0.25"/>
    <row r="253" s="19" customFormat="1" ht="20.100000000000001" customHeight="1" x14ac:dyDescent="0.25"/>
    <row r="254" s="19" customFormat="1" ht="20.100000000000001" customHeight="1" x14ac:dyDescent="0.25"/>
    <row r="255" s="19" customFormat="1" ht="20.100000000000001" customHeight="1" x14ac:dyDescent="0.25"/>
    <row r="256" s="19" customFormat="1" ht="20.100000000000001" customHeight="1" x14ac:dyDescent="0.25"/>
    <row r="257" s="19" customFormat="1" ht="20.100000000000001" customHeight="1" x14ac:dyDescent="0.25"/>
    <row r="258" s="19" customFormat="1" ht="20.100000000000001" customHeight="1" x14ac:dyDescent="0.25"/>
    <row r="259" s="19" customFormat="1" ht="20.100000000000001" customHeight="1" x14ac:dyDescent="0.25"/>
    <row r="260" s="19" customFormat="1" ht="20.100000000000001" customHeight="1" x14ac:dyDescent="0.25"/>
    <row r="261" s="19" customFormat="1" ht="20.100000000000001" customHeight="1" x14ac:dyDescent="0.25"/>
    <row r="262" s="19" customFormat="1" ht="20.100000000000001" customHeight="1" x14ac:dyDescent="0.25"/>
    <row r="263" s="19" customFormat="1" ht="20.100000000000001" customHeight="1" x14ac:dyDescent="0.25"/>
    <row r="264" s="19" customFormat="1" ht="20.100000000000001" customHeight="1" x14ac:dyDescent="0.25"/>
    <row r="265" s="19" customFormat="1" ht="20.100000000000001" customHeight="1" x14ac:dyDescent="0.25"/>
    <row r="266" s="19" customFormat="1" ht="20.100000000000001" customHeight="1" x14ac:dyDescent="0.25"/>
    <row r="267" s="19" customFormat="1" ht="20.100000000000001" customHeight="1" x14ac:dyDescent="0.25"/>
    <row r="268" s="19" customFormat="1" ht="20.100000000000001" customHeight="1" x14ac:dyDescent="0.25"/>
    <row r="269" s="19" customFormat="1" ht="20.100000000000001" customHeight="1" x14ac:dyDescent="0.25"/>
    <row r="270" s="19" customFormat="1" ht="20.100000000000001" customHeight="1" x14ac:dyDescent="0.25"/>
    <row r="271" s="19" customFormat="1" ht="20.100000000000001" customHeight="1" x14ac:dyDescent="0.25"/>
    <row r="272" s="19" customFormat="1" ht="20.100000000000001" customHeight="1" x14ac:dyDescent="0.25"/>
    <row r="273" s="19" customFormat="1" ht="20.100000000000001" customHeight="1" x14ac:dyDescent="0.25"/>
    <row r="274" s="19" customFormat="1" ht="20.100000000000001" customHeight="1" x14ac:dyDescent="0.25"/>
    <row r="275" s="19" customFormat="1" ht="20.100000000000001" customHeight="1" x14ac:dyDescent="0.25"/>
    <row r="276" s="19" customFormat="1" ht="20.100000000000001" customHeight="1" x14ac:dyDescent="0.25"/>
    <row r="277" s="19" customFormat="1" ht="20.100000000000001" customHeight="1" x14ac:dyDescent="0.25"/>
    <row r="278" s="19" customFormat="1" ht="20.100000000000001" customHeight="1" x14ac:dyDescent="0.25"/>
    <row r="279" s="19" customFormat="1" ht="20.100000000000001" customHeight="1" x14ac:dyDescent="0.25"/>
    <row r="280" s="19" customFormat="1" ht="20.100000000000001" customHeight="1" x14ac:dyDescent="0.25"/>
    <row r="281" s="19" customFormat="1" ht="20.100000000000001" customHeight="1" x14ac:dyDescent="0.25"/>
    <row r="282" s="19" customFormat="1" ht="20.100000000000001" customHeight="1" x14ac:dyDescent="0.25"/>
    <row r="283" s="19" customFormat="1" ht="20.100000000000001" customHeight="1" x14ac:dyDescent="0.25"/>
    <row r="284" s="19" customFormat="1" ht="20.100000000000001" customHeight="1" x14ac:dyDescent="0.25"/>
    <row r="285" s="19" customFormat="1" ht="20.100000000000001" customHeight="1" x14ac:dyDescent="0.25"/>
    <row r="286" s="19" customFormat="1" ht="20.100000000000001" customHeight="1" x14ac:dyDescent="0.25"/>
    <row r="287" s="19" customFormat="1" ht="20.100000000000001" customHeight="1" x14ac:dyDescent="0.25"/>
    <row r="288" s="19" customFormat="1" ht="20.100000000000001" customHeight="1" x14ac:dyDescent="0.25"/>
    <row r="289" s="19" customFormat="1" ht="20.100000000000001" customHeight="1" x14ac:dyDescent="0.25"/>
    <row r="290" s="19" customFormat="1" ht="20.100000000000001" customHeight="1" x14ac:dyDescent="0.25"/>
    <row r="291" s="19" customFormat="1" ht="20.100000000000001" customHeight="1" x14ac:dyDescent="0.25"/>
    <row r="292" s="19" customFormat="1" ht="20.100000000000001" customHeight="1" x14ac:dyDescent="0.25"/>
    <row r="293" s="19" customFormat="1" ht="20.100000000000001" customHeight="1" x14ac:dyDescent="0.25"/>
    <row r="294" s="19" customFormat="1" ht="20.100000000000001" customHeight="1" x14ac:dyDescent="0.25"/>
    <row r="295" s="19" customFormat="1" ht="20.100000000000001" customHeight="1" x14ac:dyDescent="0.25"/>
    <row r="296" s="19" customFormat="1" ht="20.100000000000001" customHeight="1" x14ac:dyDescent="0.25"/>
    <row r="297" s="19" customFormat="1" ht="20.100000000000001" customHeight="1" x14ac:dyDescent="0.25"/>
    <row r="298" s="19" customFormat="1" ht="20.100000000000001" customHeight="1" x14ac:dyDescent="0.25"/>
    <row r="299" s="19" customFormat="1" ht="20.100000000000001" customHeight="1" x14ac:dyDescent="0.25"/>
    <row r="300" s="19" customFormat="1" ht="20.100000000000001" customHeight="1" x14ac:dyDescent="0.25"/>
    <row r="301" s="19" customFormat="1" ht="20.100000000000001" customHeight="1" x14ac:dyDescent="0.25"/>
    <row r="302" s="19" customFormat="1" ht="20.100000000000001" customHeight="1" x14ac:dyDescent="0.25"/>
    <row r="303" s="19" customFormat="1" ht="20.100000000000001" customHeight="1" x14ac:dyDescent="0.25"/>
    <row r="304" s="19" customFormat="1" ht="20.100000000000001" customHeight="1" x14ac:dyDescent="0.25"/>
    <row r="305" s="19" customFormat="1" ht="20.100000000000001" customHeight="1" x14ac:dyDescent="0.25"/>
    <row r="306" s="19" customFormat="1" ht="20.100000000000001" customHeight="1" x14ac:dyDescent="0.25"/>
    <row r="307" s="19" customFormat="1" ht="20.100000000000001" customHeight="1" x14ac:dyDescent="0.25"/>
    <row r="308" s="19" customFormat="1" ht="20.100000000000001" customHeight="1" x14ac:dyDescent="0.25"/>
    <row r="309" s="19" customFormat="1" ht="20.100000000000001" customHeight="1" x14ac:dyDescent="0.25"/>
    <row r="310" s="19" customFormat="1" ht="20.100000000000001" customHeight="1" x14ac:dyDescent="0.25"/>
    <row r="311" s="19" customFormat="1" ht="20.100000000000001" customHeight="1" x14ac:dyDescent="0.25"/>
    <row r="312" s="19" customFormat="1" ht="20.100000000000001" customHeight="1" x14ac:dyDescent="0.25"/>
    <row r="313" s="19" customFormat="1" ht="20.100000000000001" customHeight="1" x14ac:dyDescent="0.25"/>
    <row r="314" s="19" customFormat="1" ht="20.100000000000001" customHeight="1" x14ac:dyDescent="0.25"/>
    <row r="315" s="19" customFormat="1" ht="20.100000000000001" customHeight="1" x14ac:dyDescent="0.25"/>
    <row r="316" s="19" customFormat="1" ht="20.100000000000001" customHeight="1" x14ac:dyDescent="0.25"/>
    <row r="317" s="19" customFormat="1" ht="20.100000000000001" customHeight="1" x14ac:dyDescent="0.25"/>
    <row r="318" s="19" customFormat="1" ht="20.100000000000001" customHeight="1" x14ac:dyDescent="0.25"/>
    <row r="319" s="19" customFormat="1" ht="20.100000000000001" customHeight="1" x14ac:dyDescent="0.25"/>
    <row r="320" s="19" customFormat="1" ht="20.100000000000001" customHeight="1" x14ac:dyDescent="0.25"/>
    <row r="321" s="19" customFormat="1" ht="20.100000000000001" customHeight="1" x14ac:dyDescent="0.25"/>
    <row r="322" s="19" customFormat="1" ht="20.100000000000001" customHeight="1" x14ac:dyDescent="0.25"/>
    <row r="323" s="19" customFormat="1" ht="20.100000000000001" customHeight="1" x14ac:dyDescent="0.25"/>
    <row r="324" s="19" customFormat="1" ht="20.100000000000001" customHeight="1" x14ac:dyDescent="0.25"/>
    <row r="325" s="19" customFormat="1" ht="20.100000000000001" customHeight="1" x14ac:dyDescent="0.25"/>
    <row r="326" s="19" customFormat="1" ht="20.100000000000001" customHeight="1" x14ac:dyDescent="0.25"/>
    <row r="327" s="19" customFormat="1" ht="20.100000000000001" customHeight="1" x14ac:dyDescent="0.25"/>
    <row r="328" s="19" customFormat="1" ht="20.100000000000001" customHeight="1" x14ac:dyDescent="0.25"/>
    <row r="329" s="19" customFormat="1" ht="20.100000000000001" customHeight="1" x14ac:dyDescent="0.25"/>
    <row r="330" s="19" customFormat="1" ht="20.100000000000001" customHeight="1" x14ac:dyDescent="0.25"/>
    <row r="331" s="19" customFormat="1" ht="20.100000000000001" customHeight="1" x14ac:dyDescent="0.25"/>
    <row r="332" s="19" customFormat="1" ht="20.100000000000001" customHeight="1" x14ac:dyDescent="0.25"/>
    <row r="333" s="19" customFormat="1" ht="20.100000000000001" customHeight="1" x14ac:dyDescent="0.25"/>
    <row r="334" s="19" customFormat="1" ht="20.100000000000001" customHeight="1" x14ac:dyDescent="0.25"/>
    <row r="335" s="19" customFormat="1" ht="20.100000000000001" customHeight="1" x14ac:dyDescent="0.25"/>
    <row r="336" s="19" customFormat="1" ht="20.100000000000001" customHeight="1" x14ac:dyDescent="0.25"/>
    <row r="337" s="19" customFormat="1" ht="20.100000000000001" customHeight="1" x14ac:dyDescent="0.25"/>
    <row r="338" s="19" customFormat="1" ht="20.100000000000001" customHeight="1" x14ac:dyDescent="0.25"/>
    <row r="339" s="19" customFormat="1" ht="20.100000000000001" customHeight="1" x14ac:dyDescent="0.25"/>
    <row r="340" s="19" customFormat="1" ht="20.100000000000001" customHeight="1" x14ac:dyDescent="0.25"/>
    <row r="341" s="19" customFormat="1" ht="20.100000000000001" customHeight="1" x14ac:dyDescent="0.25"/>
    <row r="342" s="19" customFormat="1" ht="20.100000000000001" customHeight="1" x14ac:dyDescent="0.25"/>
    <row r="343" s="19" customFormat="1" ht="20.100000000000001" customHeight="1" x14ac:dyDescent="0.25"/>
    <row r="344" s="19" customFormat="1" ht="20.100000000000001" customHeight="1" x14ac:dyDescent="0.25"/>
    <row r="345" s="19" customFormat="1" ht="20.100000000000001" customHeight="1" x14ac:dyDescent="0.25"/>
    <row r="346" s="19" customFormat="1" ht="20.100000000000001" customHeight="1" x14ac:dyDescent="0.25"/>
    <row r="347" s="19" customFormat="1" ht="20.100000000000001" customHeight="1" x14ac:dyDescent="0.25"/>
    <row r="348" s="19" customFormat="1" ht="20.100000000000001" customHeight="1" x14ac:dyDescent="0.25"/>
    <row r="349" s="19" customFormat="1" ht="20.100000000000001" customHeight="1" x14ac:dyDescent="0.25"/>
    <row r="350" s="19" customFormat="1" ht="20.100000000000001" customHeight="1" x14ac:dyDescent="0.25"/>
    <row r="351" s="19" customFormat="1" ht="20.100000000000001" customHeight="1" x14ac:dyDescent="0.25"/>
    <row r="352" s="19" customFormat="1" ht="20.100000000000001" customHeight="1" x14ac:dyDescent="0.25"/>
    <row r="353" s="19" customFormat="1" ht="20.100000000000001" customHeight="1" x14ac:dyDescent="0.25"/>
    <row r="354" s="19" customFormat="1" ht="20.100000000000001" customHeight="1" x14ac:dyDescent="0.25"/>
    <row r="355" s="19" customFormat="1" ht="20.100000000000001" customHeight="1" x14ac:dyDescent="0.25"/>
    <row r="356" s="19" customFormat="1" ht="20.100000000000001" customHeight="1" x14ac:dyDescent="0.25"/>
    <row r="357" s="19" customFormat="1" ht="20.100000000000001" customHeight="1" x14ac:dyDescent="0.25"/>
    <row r="358" s="19" customFormat="1" ht="20.100000000000001" customHeight="1" x14ac:dyDescent="0.25"/>
    <row r="359" s="19" customFormat="1" ht="20.100000000000001" customHeight="1" x14ac:dyDescent="0.25"/>
    <row r="360" s="19" customFormat="1" ht="20.100000000000001" customHeight="1" x14ac:dyDescent="0.25"/>
    <row r="361" s="19" customFormat="1" ht="20.100000000000001" customHeight="1" x14ac:dyDescent="0.25"/>
    <row r="362" s="19" customFormat="1" ht="20.100000000000001" customHeight="1" x14ac:dyDescent="0.25"/>
    <row r="363" s="19" customFormat="1" ht="20.100000000000001" customHeight="1" x14ac:dyDescent="0.25"/>
    <row r="364" s="19" customFormat="1" ht="20.100000000000001" customHeight="1" x14ac:dyDescent="0.25"/>
    <row r="365" s="19" customFormat="1" ht="20.100000000000001" customHeight="1" x14ac:dyDescent="0.25"/>
    <row r="366" s="19" customFormat="1" ht="20.100000000000001" customHeight="1" x14ac:dyDescent="0.25"/>
    <row r="367" s="19" customFormat="1" ht="20.100000000000001" customHeight="1" x14ac:dyDescent="0.25"/>
    <row r="368" s="19" customFormat="1" ht="20.100000000000001" customHeight="1" x14ac:dyDescent="0.25"/>
    <row r="369" s="19" customFormat="1" ht="20.100000000000001" customHeight="1" x14ac:dyDescent="0.25"/>
    <row r="370" s="19" customFormat="1" ht="20.100000000000001" customHeight="1" x14ac:dyDescent="0.25"/>
    <row r="371" s="19" customFormat="1" ht="20.100000000000001" customHeight="1" x14ac:dyDescent="0.25"/>
    <row r="372" s="19" customFormat="1" ht="20.100000000000001" customHeight="1" x14ac:dyDescent="0.25"/>
    <row r="373" s="19" customFormat="1" ht="20.100000000000001" customHeight="1" x14ac:dyDescent="0.25"/>
    <row r="374" s="19" customFormat="1" ht="20.100000000000001" customHeight="1" x14ac:dyDescent="0.25"/>
    <row r="375" s="19" customFormat="1" ht="20.100000000000001" customHeight="1" x14ac:dyDescent="0.25"/>
    <row r="376" s="19" customFormat="1" ht="20.100000000000001" customHeight="1" x14ac:dyDescent="0.25"/>
    <row r="377" s="19" customFormat="1" ht="20.100000000000001" customHeight="1" x14ac:dyDescent="0.25"/>
    <row r="378" s="19" customFormat="1" ht="20.100000000000001" customHeight="1" x14ac:dyDescent="0.25"/>
    <row r="379" s="19" customFormat="1" ht="20.100000000000001" customHeight="1" x14ac:dyDescent="0.25"/>
    <row r="380" s="19" customFormat="1" ht="20.100000000000001" customHeight="1" x14ac:dyDescent="0.25"/>
    <row r="381" s="19" customFormat="1" ht="20.100000000000001" customHeight="1" x14ac:dyDescent="0.25"/>
    <row r="382" s="19" customFormat="1" ht="20.100000000000001" customHeight="1" x14ac:dyDescent="0.25"/>
    <row r="383" s="19" customFormat="1" ht="20.100000000000001" customHeight="1" x14ac:dyDescent="0.25"/>
    <row r="384" s="19" customFormat="1" ht="20.100000000000001" customHeight="1" x14ac:dyDescent="0.25"/>
    <row r="385" s="19" customFormat="1" ht="20.100000000000001" customHeight="1" x14ac:dyDescent="0.25"/>
    <row r="386" s="19" customFormat="1" ht="20.100000000000001" customHeight="1" x14ac:dyDescent="0.25"/>
    <row r="387" s="19" customFormat="1" ht="20.100000000000001" customHeight="1" x14ac:dyDescent="0.25"/>
    <row r="388" s="19" customFormat="1" ht="20.100000000000001" customHeight="1" x14ac:dyDescent="0.25"/>
    <row r="389" s="19" customFormat="1" ht="20.100000000000001" customHeight="1" x14ac:dyDescent="0.25"/>
    <row r="390" s="19" customFormat="1" ht="20.100000000000001" customHeight="1" x14ac:dyDescent="0.25"/>
    <row r="391" s="19" customFormat="1" ht="20.100000000000001" customHeight="1" x14ac:dyDescent="0.25"/>
    <row r="392" s="19" customFormat="1" ht="20.100000000000001" customHeight="1" x14ac:dyDescent="0.25"/>
    <row r="393" s="19" customFormat="1" ht="20.100000000000001" customHeight="1" x14ac:dyDescent="0.25"/>
    <row r="394" s="19" customFormat="1" ht="20.100000000000001" customHeight="1" x14ac:dyDescent="0.25"/>
    <row r="395" s="19" customFormat="1" ht="20.100000000000001" customHeight="1" x14ac:dyDescent="0.25"/>
    <row r="396" s="19" customFormat="1" ht="20.100000000000001" customHeight="1" x14ac:dyDescent="0.25"/>
    <row r="397" s="19" customFormat="1" ht="20.100000000000001" customHeight="1" x14ac:dyDescent="0.25"/>
    <row r="398" s="19" customFormat="1" ht="20.100000000000001" customHeight="1" x14ac:dyDescent="0.25"/>
    <row r="399" s="19" customFormat="1" ht="20.100000000000001" customHeight="1" x14ac:dyDescent="0.25"/>
    <row r="400" s="19" customFormat="1" ht="20.100000000000001" customHeight="1" x14ac:dyDescent="0.25"/>
    <row r="401" s="19" customFormat="1" ht="20.100000000000001" customHeight="1" x14ac:dyDescent="0.25"/>
    <row r="402" s="19" customFormat="1" ht="20.100000000000001" customHeight="1" x14ac:dyDescent="0.25"/>
    <row r="403" s="19" customFormat="1" ht="20.100000000000001" customHeight="1" x14ac:dyDescent="0.25"/>
    <row r="404" s="19" customFormat="1" ht="20.100000000000001" customHeight="1" x14ac:dyDescent="0.25"/>
    <row r="405" s="19" customFormat="1" ht="20.100000000000001" customHeight="1" x14ac:dyDescent="0.25"/>
    <row r="406" s="19" customFormat="1" ht="20.100000000000001" customHeight="1" x14ac:dyDescent="0.25"/>
    <row r="407" s="19" customFormat="1" ht="20.100000000000001" customHeight="1" x14ac:dyDescent="0.25"/>
    <row r="408" s="19" customFormat="1" ht="20.100000000000001" customHeight="1" x14ac:dyDescent="0.25"/>
    <row r="409" s="19" customFormat="1" ht="20.100000000000001" customHeight="1" x14ac:dyDescent="0.25"/>
    <row r="410" s="19" customFormat="1" ht="20.100000000000001" customHeight="1" x14ac:dyDescent="0.25"/>
    <row r="411" s="19" customFormat="1" ht="20.100000000000001" customHeight="1" x14ac:dyDescent="0.25"/>
    <row r="412" s="19" customFormat="1" ht="20.100000000000001" customHeight="1" x14ac:dyDescent="0.25"/>
    <row r="413" s="19" customFormat="1" ht="20.100000000000001" customHeight="1" x14ac:dyDescent="0.25"/>
    <row r="414" s="19" customFormat="1" ht="20.100000000000001" customHeight="1" x14ac:dyDescent="0.25"/>
    <row r="415" s="19" customFormat="1" ht="20.100000000000001" customHeight="1" x14ac:dyDescent="0.25"/>
    <row r="416" s="19" customFormat="1" ht="20.100000000000001" customHeight="1" x14ac:dyDescent="0.25"/>
    <row r="417" s="19" customFormat="1" ht="20.100000000000001" customHeight="1" x14ac:dyDescent="0.25"/>
    <row r="418" s="19" customFormat="1" ht="20.100000000000001" customHeight="1" x14ac:dyDescent="0.25"/>
    <row r="419" s="19" customFormat="1" ht="20.100000000000001" customHeight="1" x14ac:dyDescent="0.25"/>
    <row r="420" s="19" customFormat="1" ht="20.100000000000001" customHeight="1" x14ac:dyDescent="0.25"/>
    <row r="421" s="19" customFormat="1" ht="20.100000000000001" customHeight="1" x14ac:dyDescent="0.25"/>
    <row r="422" s="19" customFormat="1" ht="20.100000000000001" customHeight="1" x14ac:dyDescent="0.25"/>
    <row r="423" s="19" customFormat="1" ht="20.100000000000001" customHeight="1" x14ac:dyDescent="0.25"/>
    <row r="424" s="19" customFormat="1" ht="20.100000000000001" customHeight="1" x14ac:dyDescent="0.25"/>
    <row r="425" s="19" customFormat="1" ht="20.100000000000001" customHeight="1" x14ac:dyDescent="0.25"/>
    <row r="426" s="19" customFormat="1" ht="20.100000000000001" customHeight="1" x14ac:dyDescent="0.25"/>
    <row r="427" s="19" customFormat="1" ht="20.100000000000001" customHeight="1" x14ac:dyDescent="0.25"/>
    <row r="428" s="19" customFormat="1" ht="20.100000000000001" customHeight="1" x14ac:dyDescent="0.25"/>
    <row r="429" s="19" customFormat="1" ht="20.100000000000001" customHeight="1" x14ac:dyDescent="0.25"/>
    <row r="430" s="19" customFormat="1" ht="20.100000000000001" customHeight="1" x14ac:dyDescent="0.25"/>
    <row r="431" s="19" customFormat="1" ht="20.100000000000001" customHeight="1" x14ac:dyDescent="0.25"/>
    <row r="432" s="19" customFormat="1" ht="20.100000000000001" customHeight="1" x14ac:dyDescent="0.25"/>
    <row r="433" s="19" customFormat="1" ht="20.100000000000001" customHeight="1" x14ac:dyDescent="0.25"/>
    <row r="434" s="19" customFormat="1" ht="20.100000000000001" customHeight="1" x14ac:dyDescent="0.25"/>
    <row r="435" s="19" customFormat="1" ht="20.100000000000001" customHeight="1" x14ac:dyDescent="0.25"/>
    <row r="436" s="19" customFormat="1" ht="20.100000000000001" customHeight="1" x14ac:dyDescent="0.25"/>
    <row r="437" s="19" customFormat="1" ht="20.100000000000001" customHeight="1" x14ac:dyDescent="0.25"/>
    <row r="438" s="19" customFormat="1" ht="20.100000000000001" customHeight="1" x14ac:dyDescent="0.25"/>
    <row r="439" s="19" customFormat="1" ht="20.100000000000001" customHeight="1" x14ac:dyDescent="0.25"/>
    <row r="440" s="19" customFormat="1" ht="20.100000000000001" customHeight="1" x14ac:dyDescent="0.25"/>
    <row r="441" s="19" customFormat="1" ht="20.100000000000001" customHeight="1" x14ac:dyDescent="0.25"/>
    <row r="442" s="19" customFormat="1" ht="20.100000000000001" customHeight="1" x14ac:dyDescent="0.25"/>
    <row r="443" s="19" customFormat="1" ht="20.100000000000001" customHeight="1" x14ac:dyDescent="0.25"/>
    <row r="444" s="19" customFormat="1" ht="20.100000000000001" customHeight="1" x14ac:dyDescent="0.25"/>
    <row r="445" s="19" customFormat="1" ht="20.100000000000001" customHeight="1" x14ac:dyDescent="0.25"/>
    <row r="446" s="19" customFormat="1" ht="20.100000000000001" customHeight="1" x14ac:dyDescent="0.25"/>
    <row r="447" s="19" customFormat="1" ht="20.100000000000001" customHeight="1" x14ac:dyDescent="0.25"/>
    <row r="448" s="19" customFormat="1" ht="20.100000000000001" customHeight="1" x14ac:dyDescent="0.25"/>
    <row r="449" s="19" customFormat="1" ht="20.100000000000001" customHeight="1" x14ac:dyDescent="0.25"/>
    <row r="450" s="19" customFormat="1" ht="20.100000000000001" customHeight="1" x14ac:dyDescent="0.25"/>
    <row r="451" s="19" customFormat="1" ht="20.100000000000001" customHeight="1" x14ac:dyDescent="0.25"/>
    <row r="452" s="19" customFormat="1" ht="20.100000000000001" customHeight="1" x14ac:dyDescent="0.25"/>
    <row r="453" s="19" customFormat="1" ht="20.100000000000001" customHeight="1" x14ac:dyDescent="0.25"/>
    <row r="454" s="19" customFormat="1" ht="20.100000000000001" customHeight="1" x14ac:dyDescent="0.25"/>
    <row r="455" s="19" customFormat="1" ht="20.100000000000001" customHeight="1" x14ac:dyDescent="0.25"/>
    <row r="456" s="19" customFormat="1" ht="20.100000000000001" customHeight="1" x14ac:dyDescent="0.25"/>
    <row r="457" s="19" customFormat="1" ht="20.100000000000001" customHeight="1" x14ac:dyDescent="0.25"/>
    <row r="458" s="19" customFormat="1" ht="20.100000000000001" customHeight="1" x14ac:dyDescent="0.25"/>
    <row r="459" s="19" customFormat="1" ht="20.100000000000001" customHeight="1" x14ac:dyDescent="0.25"/>
    <row r="460" s="19" customFormat="1" ht="20.100000000000001" customHeight="1" x14ac:dyDescent="0.25"/>
    <row r="461" s="19" customFormat="1" ht="20.100000000000001" customHeight="1" x14ac:dyDescent="0.25"/>
    <row r="462" s="19" customFormat="1" ht="20.100000000000001" customHeight="1" x14ac:dyDescent="0.25"/>
    <row r="463" s="19" customFormat="1" ht="20.100000000000001" customHeight="1" x14ac:dyDescent="0.25"/>
    <row r="464" s="19" customFormat="1" ht="20.100000000000001" customHeight="1" x14ac:dyDescent="0.25"/>
    <row r="465" s="19" customFormat="1" ht="20.100000000000001" customHeight="1" x14ac:dyDescent="0.25"/>
    <row r="466" s="19" customFormat="1" ht="20.100000000000001" customHeight="1" x14ac:dyDescent="0.25"/>
    <row r="467" s="19" customFormat="1" ht="20.100000000000001" customHeight="1" x14ac:dyDescent="0.25"/>
    <row r="468" s="19" customFormat="1" ht="20.100000000000001" customHeight="1" x14ac:dyDescent="0.25"/>
    <row r="469" s="19" customFormat="1" ht="20.100000000000001" customHeight="1" x14ac:dyDescent="0.25"/>
    <row r="470" s="19" customFormat="1" ht="20.100000000000001" customHeight="1" x14ac:dyDescent="0.25"/>
    <row r="471" s="19" customFormat="1" ht="20.100000000000001" customHeight="1" x14ac:dyDescent="0.25"/>
    <row r="472" s="19" customFormat="1" ht="20.100000000000001" customHeight="1" x14ac:dyDescent="0.25"/>
    <row r="473" s="19" customFormat="1" ht="20.100000000000001" customHeight="1" x14ac:dyDescent="0.25"/>
    <row r="474" s="19" customFormat="1" ht="20.100000000000001" customHeight="1" x14ac:dyDescent="0.25"/>
    <row r="475" s="19" customFormat="1" ht="20.100000000000001" customHeight="1" x14ac:dyDescent="0.25"/>
    <row r="476" s="19" customFormat="1" ht="20.100000000000001" customHeight="1" x14ac:dyDescent="0.25"/>
    <row r="477" s="19" customFormat="1" ht="20.100000000000001" customHeight="1" x14ac:dyDescent="0.25"/>
    <row r="478" s="19" customFormat="1" ht="20.100000000000001" customHeight="1" x14ac:dyDescent="0.25"/>
    <row r="479" s="19" customFormat="1" ht="20.100000000000001" customHeight="1" x14ac:dyDescent="0.25"/>
    <row r="480" s="19" customFormat="1" ht="20.100000000000001" customHeight="1" x14ac:dyDescent="0.25"/>
    <row r="481" s="19" customFormat="1" ht="20.100000000000001" customHeight="1" x14ac:dyDescent="0.25"/>
    <row r="482" s="19" customFormat="1" ht="20.100000000000001" customHeight="1" x14ac:dyDescent="0.25"/>
    <row r="483" s="19" customFormat="1" ht="20.100000000000001" customHeight="1" x14ac:dyDescent="0.25"/>
    <row r="484" s="19" customFormat="1" ht="20.100000000000001" customHeight="1" x14ac:dyDescent="0.25"/>
    <row r="485" s="19" customFormat="1" ht="20.100000000000001" customHeight="1" x14ac:dyDescent="0.25"/>
    <row r="486" s="19" customFormat="1" ht="20.100000000000001" customHeight="1" x14ac:dyDescent="0.25"/>
    <row r="487" s="19" customFormat="1" ht="20.100000000000001" customHeight="1" x14ac:dyDescent="0.25"/>
    <row r="488" s="19" customFormat="1" ht="20.100000000000001" customHeight="1" x14ac:dyDescent="0.25"/>
    <row r="489" s="19" customFormat="1" ht="20.100000000000001" customHeight="1" x14ac:dyDescent="0.25"/>
    <row r="490" s="19" customFormat="1" ht="20.100000000000001" customHeight="1" x14ac:dyDescent="0.25"/>
    <row r="491" s="19" customFormat="1" ht="20.100000000000001" customHeight="1" x14ac:dyDescent="0.25"/>
    <row r="492" s="19" customFormat="1" ht="20.100000000000001" customHeight="1" x14ac:dyDescent="0.25"/>
    <row r="493" s="19" customFormat="1" ht="20.100000000000001" customHeight="1" x14ac:dyDescent="0.25"/>
    <row r="494" s="19" customFormat="1" ht="20.100000000000001" customHeight="1" x14ac:dyDescent="0.25"/>
    <row r="495" s="19" customFormat="1" ht="20.100000000000001" customHeight="1" x14ac:dyDescent="0.25"/>
    <row r="496" s="19" customFormat="1" ht="20.100000000000001" customHeight="1" x14ac:dyDescent="0.25"/>
    <row r="497" s="19" customFormat="1" ht="20.100000000000001" customHeight="1" x14ac:dyDescent="0.25"/>
    <row r="498" s="19" customFormat="1" ht="20.100000000000001" customHeight="1" x14ac:dyDescent="0.25"/>
    <row r="499" s="19" customFormat="1" ht="20.100000000000001" customHeight="1" x14ac:dyDescent="0.25"/>
    <row r="500" s="19" customFormat="1" ht="20.100000000000001" customHeight="1" x14ac:dyDescent="0.25"/>
    <row r="501" s="19" customFormat="1" ht="20.100000000000001" customHeight="1" x14ac:dyDescent="0.25"/>
    <row r="502" s="19" customFormat="1" ht="20.100000000000001" customHeight="1" x14ac:dyDescent="0.25"/>
    <row r="503" s="19" customFormat="1" ht="20.100000000000001" customHeight="1" x14ac:dyDescent="0.25"/>
    <row r="504" s="19" customFormat="1" ht="20.100000000000001" customHeight="1" x14ac:dyDescent="0.25"/>
    <row r="505" s="19" customFormat="1" ht="20.100000000000001" customHeight="1" x14ac:dyDescent="0.25"/>
    <row r="506" s="19" customFormat="1" ht="20.100000000000001" customHeight="1" x14ac:dyDescent="0.25"/>
    <row r="507" s="19" customFormat="1" ht="20.100000000000001" customHeight="1" x14ac:dyDescent="0.25"/>
    <row r="508" s="19" customFormat="1" ht="20.100000000000001" customHeight="1" x14ac:dyDescent="0.25"/>
    <row r="509" s="19" customFormat="1" ht="20.100000000000001" customHeight="1" x14ac:dyDescent="0.25"/>
    <row r="510" s="19" customFormat="1" ht="20.100000000000001" customHeight="1" x14ac:dyDescent="0.25"/>
    <row r="511" s="19" customFormat="1" ht="20.100000000000001" customHeight="1" x14ac:dyDescent="0.25"/>
    <row r="512" s="19" customFormat="1" ht="20.100000000000001" customHeight="1" x14ac:dyDescent="0.25"/>
    <row r="513" s="19" customFormat="1" ht="20.100000000000001" customHeight="1" x14ac:dyDescent="0.25"/>
    <row r="514" s="19" customFormat="1" ht="20.100000000000001" customHeight="1" x14ac:dyDescent="0.25"/>
    <row r="515" s="19" customFormat="1" ht="20.100000000000001" customHeight="1" x14ac:dyDescent="0.25"/>
    <row r="516" s="19" customFormat="1" ht="20.100000000000001" customHeight="1" x14ac:dyDescent="0.25"/>
    <row r="517" s="19" customFormat="1" ht="20.100000000000001" customHeight="1" x14ac:dyDescent="0.25"/>
    <row r="518" s="19" customFormat="1" ht="20.100000000000001" customHeight="1" x14ac:dyDescent="0.25"/>
    <row r="519" s="19" customFormat="1" ht="20.100000000000001" customHeight="1" x14ac:dyDescent="0.25"/>
    <row r="520" s="19" customFormat="1" ht="20.100000000000001" customHeight="1" x14ac:dyDescent="0.25"/>
    <row r="521" s="19" customFormat="1" ht="20.100000000000001" customHeight="1" x14ac:dyDescent="0.25"/>
    <row r="522" s="19" customFormat="1" ht="20.100000000000001" customHeight="1" x14ac:dyDescent="0.25"/>
    <row r="523" s="19" customFormat="1" ht="20.100000000000001" customHeight="1" x14ac:dyDescent="0.25"/>
    <row r="524" s="19" customFormat="1" ht="20.100000000000001" customHeight="1" x14ac:dyDescent="0.25"/>
    <row r="525" s="19" customFormat="1" ht="20.100000000000001" customHeight="1" x14ac:dyDescent="0.25"/>
    <row r="526" s="19" customFormat="1" ht="20.100000000000001" customHeight="1" x14ac:dyDescent="0.25"/>
    <row r="527" s="19" customFormat="1" ht="20.100000000000001" customHeight="1" x14ac:dyDescent="0.25"/>
    <row r="528" s="19" customFormat="1" ht="20.100000000000001" customHeight="1" x14ac:dyDescent="0.25"/>
    <row r="529" s="19" customFormat="1" ht="20.100000000000001" customHeight="1" x14ac:dyDescent="0.25"/>
    <row r="530" s="19" customFormat="1" ht="20.100000000000001" customHeight="1" x14ac:dyDescent="0.25"/>
    <row r="531" s="19" customFormat="1" ht="20.100000000000001" customHeight="1" x14ac:dyDescent="0.25"/>
    <row r="532" s="19" customFormat="1" ht="20.100000000000001" customHeight="1" x14ac:dyDescent="0.25"/>
    <row r="533" s="19" customFormat="1" ht="20.100000000000001" customHeight="1" x14ac:dyDescent="0.25"/>
    <row r="534" s="19" customFormat="1" ht="20.100000000000001" customHeight="1" x14ac:dyDescent="0.25"/>
    <row r="535" s="19" customFormat="1" ht="20.100000000000001" customHeight="1" x14ac:dyDescent="0.25"/>
    <row r="536" s="19" customFormat="1" ht="20.100000000000001" customHeight="1" x14ac:dyDescent="0.25"/>
    <row r="537" s="19" customFormat="1" ht="20.100000000000001" customHeight="1" x14ac:dyDescent="0.25"/>
    <row r="538" s="19" customFormat="1" ht="20.100000000000001" customHeight="1" x14ac:dyDescent="0.25"/>
    <row r="539" s="19" customFormat="1" ht="20.100000000000001" customHeight="1" x14ac:dyDescent="0.25"/>
    <row r="540" s="19" customFormat="1" ht="20.100000000000001" customHeight="1" x14ac:dyDescent="0.25"/>
    <row r="541" s="19" customFormat="1" ht="20.100000000000001" customHeight="1" x14ac:dyDescent="0.25"/>
    <row r="542" s="19" customFormat="1" ht="20.100000000000001" customHeight="1" x14ac:dyDescent="0.25"/>
    <row r="543" s="19" customFormat="1" ht="20.100000000000001" customHeight="1" x14ac:dyDescent="0.25"/>
    <row r="544" s="19" customFormat="1" ht="20.100000000000001" customHeight="1" x14ac:dyDescent="0.25"/>
    <row r="545" s="19" customFormat="1" ht="20.100000000000001" customHeight="1" x14ac:dyDescent="0.25"/>
    <row r="546" s="19" customFormat="1" ht="20.100000000000001" customHeight="1" x14ac:dyDescent="0.25"/>
    <row r="547" s="19" customFormat="1" ht="20.100000000000001" customHeight="1" x14ac:dyDescent="0.25"/>
    <row r="548" s="19" customFormat="1" ht="20.100000000000001" customHeight="1" x14ac:dyDescent="0.25"/>
    <row r="549" s="19" customFormat="1" ht="20.100000000000001" customHeight="1" x14ac:dyDescent="0.25"/>
    <row r="550" s="19" customFormat="1" ht="20.100000000000001" customHeight="1" x14ac:dyDescent="0.25"/>
    <row r="551" s="19" customFormat="1" ht="20.100000000000001" customHeight="1" x14ac:dyDescent="0.25"/>
    <row r="552" s="19" customFormat="1" ht="20.100000000000001" customHeight="1" x14ac:dyDescent="0.25"/>
    <row r="553" s="19" customFormat="1" ht="20.100000000000001" customHeight="1" x14ac:dyDescent="0.25"/>
    <row r="554" s="19" customFormat="1" ht="20.100000000000001" customHeight="1" x14ac:dyDescent="0.25"/>
    <row r="555" s="19" customFormat="1" ht="20.100000000000001" customHeight="1" x14ac:dyDescent="0.25"/>
    <row r="556" s="19" customFormat="1" ht="20.100000000000001" customHeight="1" x14ac:dyDescent="0.25"/>
    <row r="557" s="19" customFormat="1" ht="20.100000000000001" customHeight="1" x14ac:dyDescent="0.25"/>
    <row r="558" s="19" customFormat="1" ht="20.100000000000001" customHeight="1" x14ac:dyDescent="0.25"/>
    <row r="559" s="19" customFormat="1" ht="20.100000000000001" customHeight="1" x14ac:dyDescent="0.25"/>
    <row r="560" s="19" customFormat="1" ht="20.100000000000001" customHeight="1" x14ac:dyDescent="0.25"/>
    <row r="561" s="19" customFormat="1" ht="20.100000000000001" customHeight="1" x14ac:dyDescent="0.25"/>
    <row r="562" s="19" customFormat="1" ht="20.100000000000001" customHeight="1" x14ac:dyDescent="0.25"/>
    <row r="563" s="19" customFormat="1" ht="20.100000000000001" customHeight="1" x14ac:dyDescent="0.25"/>
    <row r="564" s="19" customFormat="1" ht="20.100000000000001" customHeight="1" x14ac:dyDescent="0.25"/>
    <row r="565" s="19" customFormat="1" ht="20.100000000000001" customHeight="1" x14ac:dyDescent="0.25"/>
    <row r="566" s="19" customFormat="1" ht="20.100000000000001" customHeight="1" x14ac:dyDescent="0.25"/>
    <row r="567" s="19" customFormat="1" ht="20.100000000000001" customHeight="1" x14ac:dyDescent="0.25"/>
    <row r="568" s="19" customFormat="1" ht="20.100000000000001" customHeight="1" x14ac:dyDescent="0.25"/>
    <row r="569" s="19" customFormat="1" ht="20.100000000000001" customHeight="1" x14ac:dyDescent="0.25"/>
    <row r="570" s="19" customFormat="1" ht="20.100000000000001" customHeight="1" x14ac:dyDescent="0.25"/>
    <row r="571" s="19" customFormat="1" ht="20.100000000000001" customHeight="1" x14ac:dyDescent="0.25"/>
    <row r="572" s="19" customFormat="1" ht="20.100000000000001" customHeight="1" x14ac:dyDescent="0.25"/>
    <row r="573" s="19" customFormat="1" ht="20.100000000000001" customHeight="1" x14ac:dyDescent="0.25"/>
    <row r="574" s="19" customFormat="1" ht="20.100000000000001" customHeight="1" x14ac:dyDescent="0.25"/>
    <row r="575" s="19" customFormat="1" ht="20.100000000000001" customHeight="1" x14ac:dyDescent="0.25"/>
    <row r="576" s="19" customFormat="1" ht="20.100000000000001" customHeight="1" x14ac:dyDescent="0.25"/>
    <row r="577" s="19" customFormat="1" ht="20.100000000000001" customHeight="1" x14ac:dyDescent="0.25"/>
    <row r="578" s="19" customFormat="1" ht="20.100000000000001" customHeight="1" x14ac:dyDescent="0.25"/>
    <row r="579" s="19" customFormat="1" ht="20.100000000000001" customHeight="1" x14ac:dyDescent="0.25"/>
    <row r="580" s="19" customFormat="1" ht="20.100000000000001" customHeight="1" x14ac:dyDescent="0.25"/>
    <row r="581" s="19" customFormat="1" ht="20.100000000000001" customHeight="1" x14ac:dyDescent="0.25"/>
    <row r="582" s="19" customFormat="1" ht="20.100000000000001" customHeight="1" x14ac:dyDescent="0.25"/>
    <row r="583" s="19" customFormat="1" ht="20.100000000000001" customHeight="1" x14ac:dyDescent="0.25"/>
    <row r="584" s="19" customFormat="1" ht="20.100000000000001" customHeight="1" x14ac:dyDescent="0.25"/>
    <row r="585" s="19" customFormat="1" ht="20.100000000000001" customHeight="1" x14ac:dyDescent="0.25"/>
    <row r="586" s="19" customFormat="1" ht="20.100000000000001" customHeight="1" x14ac:dyDescent="0.25"/>
    <row r="587" s="19" customFormat="1" ht="20.100000000000001" customHeight="1" x14ac:dyDescent="0.25"/>
    <row r="588" s="19" customFormat="1" ht="20.100000000000001" customHeight="1" x14ac:dyDescent="0.25"/>
    <row r="589" s="19" customFormat="1" ht="20.100000000000001" customHeight="1" x14ac:dyDescent="0.25"/>
    <row r="590" s="19" customFormat="1" ht="20.100000000000001" customHeight="1" x14ac:dyDescent="0.25"/>
    <row r="591" s="19" customFormat="1" ht="20.100000000000001" customHeight="1" x14ac:dyDescent="0.25"/>
    <row r="592" s="19" customFormat="1" ht="20.100000000000001" customHeight="1" x14ac:dyDescent="0.25"/>
    <row r="593" s="19" customFormat="1" ht="20.100000000000001" customHeight="1" x14ac:dyDescent="0.25"/>
    <row r="594" s="19" customFormat="1" ht="20.100000000000001" customHeight="1" x14ac:dyDescent="0.25"/>
    <row r="595" s="19" customFormat="1" ht="20.100000000000001" customHeight="1" x14ac:dyDescent="0.25"/>
    <row r="596" s="19" customFormat="1" ht="20.100000000000001" customHeight="1" x14ac:dyDescent="0.25"/>
    <row r="597" s="19" customFormat="1" ht="20.100000000000001" customHeight="1" x14ac:dyDescent="0.25"/>
    <row r="598" s="19" customFormat="1" ht="20.100000000000001" customHeight="1" x14ac:dyDescent="0.25"/>
    <row r="599" s="19" customFormat="1" ht="20.100000000000001" customHeight="1" x14ac:dyDescent="0.25"/>
    <row r="600" s="19" customFormat="1" ht="20.100000000000001" customHeight="1" x14ac:dyDescent="0.25"/>
    <row r="601" s="19" customFormat="1" ht="20.100000000000001" customHeight="1" x14ac:dyDescent="0.25"/>
    <row r="602" s="19" customFormat="1" ht="20.100000000000001" customHeight="1" x14ac:dyDescent="0.25"/>
    <row r="603" s="19" customFormat="1" ht="20.100000000000001" customHeight="1" x14ac:dyDescent="0.25"/>
    <row r="604" s="19" customFormat="1" ht="20.100000000000001" customHeight="1" x14ac:dyDescent="0.25"/>
    <row r="605" s="19" customFormat="1" ht="20.100000000000001" customHeight="1" x14ac:dyDescent="0.25"/>
    <row r="606" s="19" customFormat="1" ht="20.100000000000001" customHeight="1" x14ac:dyDescent="0.25"/>
    <row r="607" s="19" customFormat="1" ht="20.100000000000001" customHeight="1" x14ac:dyDescent="0.25"/>
    <row r="608" s="19" customFormat="1" ht="20.100000000000001" customHeight="1" x14ac:dyDescent="0.25"/>
    <row r="609" s="19" customFormat="1" ht="20.100000000000001" customHeight="1" x14ac:dyDescent="0.25"/>
    <row r="610" s="19" customFormat="1" ht="20.100000000000001" customHeight="1" x14ac:dyDescent="0.25"/>
    <row r="611" s="19" customFormat="1" ht="20.100000000000001" customHeight="1" x14ac:dyDescent="0.25"/>
    <row r="612" s="19" customFormat="1" ht="20.100000000000001" customHeight="1" x14ac:dyDescent="0.25"/>
    <row r="613" s="19" customFormat="1" ht="20.100000000000001" customHeight="1" x14ac:dyDescent="0.25"/>
    <row r="614" s="19" customFormat="1" ht="20.100000000000001" customHeight="1" x14ac:dyDescent="0.25"/>
    <row r="615" s="19" customFormat="1" ht="20.100000000000001" customHeight="1" x14ac:dyDescent="0.25"/>
    <row r="616" s="19" customFormat="1" ht="20.100000000000001" customHeight="1" x14ac:dyDescent="0.25"/>
    <row r="617" s="19" customFormat="1" ht="20.100000000000001" customHeight="1" x14ac:dyDescent="0.25"/>
    <row r="618" s="19" customFormat="1" ht="20.100000000000001" customHeight="1" x14ac:dyDescent="0.25"/>
    <row r="619" s="19" customFormat="1" ht="20.100000000000001" customHeight="1" x14ac:dyDescent="0.25"/>
    <row r="620" s="19" customFormat="1" ht="20.100000000000001" customHeight="1" x14ac:dyDescent="0.25"/>
    <row r="621" s="19" customFormat="1" ht="20.100000000000001" customHeight="1" x14ac:dyDescent="0.25"/>
    <row r="622" s="19" customFormat="1" ht="20.100000000000001" customHeight="1" x14ac:dyDescent="0.25"/>
    <row r="623" s="19" customFormat="1" ht="20.100000000000001" customHeight="1" x14ac:dyDescent="0.25"/>
    <row r="624" s="19" customFormat="1" ht="20.100000000000001" customHeight="1" x14ac:dyDescent="0.25"/>
    <row r="625" s="19" customFormat="1" ht="20.100000000000001" customHeight="1" x14ac:dyDescent="0.25"/>
    <row r="626" s="19" customFormat="1" ht="20.100000000000001" customHeight="1" x14ac:dyDescent="0.25"/>
    <row r="627" s="19" customFormat="1" ht="20.100000000000001" customHeight="1" x14ac:dyDescent="0.25"/>
    <row r="628" s="19" customFormat="1" ht="20.100000000000001" customHeight="1" x14ac:dyDescent="0.25"/>
    <row r="629" s="19" customFormat="1" ht="20.100000000000001" customHeight="1" x14ac:dyDescent="0.25"/>
    <row r="630" s="19" customFormat="1" ht="20.100000000000001" customHeight="1" x14ac:dyDescent="0.25"/>
    <row r="631" s="19" customFormat="1" ht="20.100000000000001" customHeight="1" x14ac:dyDescent="0.25"/>
    <row r="632" s="19" customFormat="1" ht="20.100000000000001" customHeight="1" x14ac:dyDescent="0.25"/>
    <row r="633" s="19" customFormat="1" ht="20.100000000000001" customHeight="1" x14ac:dyDescent="0.25"/>
    <row r="634" s="19" customFormat="1" ht="20.100000000000001" customHeight="1" x14ac:dyDescent="0.25"/>
    <row r="635" s="19" customFormat="1" ht="20.100000000000001" customHeight="1" x14ac:dyDescent="0.25"/>
    <row r="636" s="19" customFormat="1" ht="20.100000000000001" customHeight="1" x14ac:dyDescent="0.25"/>
    <row r="637" s="19" customFormat="1" ht="20.100000000000001" customHeight="1" x14ac:dyDescent="0.25"/>
    <row r="638" s="19" customFormat="1" ht="20.100000000000001" customHeight="1" x14ac:dyDescent="0.25"/>
    <row r="639" s="19" customFormat="1" ht="20.100000000000001" customHeight="1" x14ac:dyDescent="0.25"/>
    <row r="640" s="19" customFormat="1" ht="20.100000000000001" customHeight="1" x14ac:dyDescent="0.25"/>
    <row r="641" s="19" customFormat="1" ht="20.100000000000001" customHeight="1" x14ac:dyDescent="0.25"/>
    <row r="642" s="19" customFormat="1" ht="20.100000000000001" customHeight="1" x14ac:dyDescent="0.25"/>
    <row r="643" s="19" customFormat="1" ht="20.100000000000001" customHeight="1" x14ac:dyDescent="0.25"/>
    <row r="644" s="19" customFormat="1" ht="20.100000000000001" customHeight="1" x14ac:dyDescent="0.25"/>
    <row r="645" s="19" customFormat="1" ht="20.100000000000001" customHeight="1" x14ac:dyDescent="0.25"/>
    <row r="646" s="19" customFormat="1" ht="20.100000000000001" customHeight="1" x14ac:dyDescent="0.25"/>
    <row r="647" s="19" customFormat="1" ht="20.100000000000001" customHeight="1" x14ac:dyDescent="0.25"/>
    <row r="648" s="19" customFormat="1" ht="20.100000000000001" customHeight="1" x14ac:dyDescent="0.25"/>
    <row r="649" s="19" customFormat="1" ht="20.100000000000001" customHeight="1" x14ac:dyDescent="0.25"/>
    <row r="650" s="19" customFormat="1" ht="20.100000000000001" customHeight="1" x14ac:dyDescent="0.25"/>
    <row r="651" s="19" customFormat="1" ht="20.100000000000001" customHeight="1" x14ac:dyDescent="0.25"/>
    <row r="652" s="19" customFormat="1" ht="20.100000000000001" customHeight="1" x14ac:dyDescent="0.25"/>
    <row r="653" s="19" customFormat="1" ht="20.100000000000001" customHeight="1" x14ac:dyDescent="0.25"/>
    <row r="654" s="19" customFormat="1" ht="20.100000000000001" customHeight="1" x14ac:dyDescent="0.25"/>
    <row r="655" s="19" customFormat="1" ht="20.100000000000001" customHeight="1" x14ac:dyDescent="0.25"/>
    <row r="656" s="19" customFormat="1" ht="20.100000000000001" customHeight="1" x14ac:dyDescent="0.25"/>
    <row r="657" s="19" customFormat="1" ht="20.100000000000001" customHeight="1" x14ac:dyDescent="0.25"/>
    <row r="658" s="19" customFormat="1" ht="20.100000000000001" customHeight="1" x14ac:dyDescent="0.25"/>
    <row r="659" s="19" customFormat="1" ht="20.100000000000001" customHeight="1" x14ac:dyDescent="0.25"/>
    <row r="660" s="19" customFormat="1" ht="20.100000000000001" customHeight="1" x14ac:dyDescent="0.25"/>
    <row r="661" s="19" customFormat="1" ht="20.100000000000001" customHeight="1" x14ac:dyDescent="0.25"/>
    <row r="662" s="19" customFormat="1" ht="20.100000000000001" customHeight="1" x14ac:dyDescent="0.25"/>
    <row r="663" s="19" customFormat="1" ht="20.100000000000001" customHeight="1" x14ac:dyDescent="0.25"/>
    <row r="664" s="19" customFormat="1" ht="20.100000000000001" customHeight="1" x14ac:dyDescent="0.25"/>
    <row r="665" s="19" customFormat="1" ht="20.100000000000001" customHeight="1" x14ac:dyDescent="0.25"/>
    <row r="666" s="19" customFormat="1" ht="20.100000000000001" customHeight="1" x14ac:dyDescent="0.25"/>
    <row r="667" s="19" customFormat="1" ht="20.100000000000001" customHeight="1" x14ac:dyDescent="0.25"/>
    <row r="668" s="19" customFormat="1" ht="20.100000000000001" customHeight="1" x14ac:dyDescent="0.25"/>
    <row r="669" s="19" customFormat="1" ht="20.100000000000001" customHeight="1" x14ac:dyDescent="0.25"/>
  </sheetData>
  <mergeCells count="22">
    <mergeCell ref="BS1:BV1"/>
    <mergeCell ref="BW1:BZ1"/>
    <mergeCell ref="AX1:BA1"/>
    <mergeCell ref="BB1:BE1"/>
    <mergeCell ref="BF1:BI1"/>
    <mergeCell ref="BJ1:BN1"/>
    <mergeCell ref="BO1:BR1"/>
    <mergeCell ref="AB1:AF1"/>
    <mergeCell ref="AG1:AJ1"/>
    <mergeCell ref="AK1:AN1"/>
    <mergeCell ref="AO1:AR1"/>
    <mergeCell ref="AS1:AW1"/>
    <mergeCell ref="G1:J1"/>
    <mergeCell ref="K1:O1"/>
    <mergeCell ref="P1:S1"/>
    <mergeCell ref="T1:W1"/>
    <mergeCell ref="X1:AA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4 ცხრილი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2019-06-20T08:53:29Z</dcterms:modified>
</cp:coreProperties>
</file>